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zp\4. Zapytania ofertowe 2025\4-REG-2025 Mat. Biurowe II\"/>
    </mc:Choice>
  </mc:AlternateContent>
  <xr:revisionPtr revIDLastSave="0" documentId="8_{F803F02D-5462-4462-9713-6B9EA315CC56}" xr6:coauthVersionLast="47" xr6:coauthVersionMax="47" xr10:uidLastSave="{00000000-0000-0000-0000-000000000000}"/>
  <bookViews>
    <workbookView xWindow="-120" yWindow="-120" windowWidth="29040" windowHeight="15720" tabRatio="601" xr2:uid="{00000000-000D-0000-FFFF-FFFF00000000}"/>
  </bookViews>
  <sheets>
    <sheet name="Formularz cenowy" sheetId="3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6" i="35" l="1"/>
  <c r="S6" i="35"/>
  <c r="U6" i="35" s="1"/>
  <c r="U104" i="35" l="1"/>
  <c r="O104" i="35"/>
  <c r="M104" i="35"/>
  <c r="L104" i="35"/>
  <c r="H104" i="35"/>
  <c r="W97" i="35"/>
  <c r="S97" i="35"/>
  <c r="L97" i="35"/>
  <c r="H97" i="35"/>
  <c r="U108" i="35"/>
  <c r="L108" i="35"/>
  <c r="P108" i="35" s="1"/>
  <c r="H108" i="35"/>
  <c r="U107" i="35"/>
  <c r="L107" i="35"/>
  <c r="P107" i="35" s="1"/>
  <c r="H107" i="35"/>
  <c r="U106" i="35"/>
  <c r="L106" i="35"/>
  <c r="P106" i="35" s="1"/>
  <c r="H106" i="35"/>
  <c r="U54" i="35"/>
  <c r="O54" i="35"/>
  <c r="M54" i="35"/>
  <c r="L54" i="35"/>
  <c r="H54" i="35"/>
  <c r="U53" i="35"/>
  <c r="O53" i="35"/>
  <c r="M53" i="35"/>
  <c r="L53" i="35"/>
  <c r="H53" i="35"/>
  <c r="U52" i="35"/>
  <c r="O52" i="35"/>
  <c r="M52" i="35"/>
  <c r="L52" i="35"/>
  <c r="P52" i="35" s="1"/>
  <c r="H52" i="35"/>
  <c r="U51" i="35"/>
  <c r="L51" i="35"/>
  <c r="P51" i="35" s="1"/>
  <c r="H51" i="35"/>
  <c r="N104" i="35" l="1"/>
  <c r="P104" i="35"/>
  <c r="S104" i="35"/>
  <c r="J104" i="35"/>
  <c r="K104" i="35" s="1"/>
  <c r="U97" i="35"/>
  <c r="V97" i="35" s="1"/>
  <c r="J97" i="35"/>
  <c r="K97" i="35" s="1"/>
  <c r="P54" i="35"/>
  <c r="J108" i="35"/>
  <c r="K108" i="35" s="1"/>
  <c r="S106" i="35"/>
  <c r="J107" i="35"/>
  <c r="K107" i="35" s="1"/>
  <c r="N107" i="35"/>
  <c r="S107" i="35"/>
  <c r="N108" i="35"/>
  <c r="J106" i="35"/>
  <c r="K106" i="35" s="1"/>
  <c r="S108" i="35"/>
  <c r="N106" i="35"/>
  <c r="P53" i="35"/>
  <c r="N52" i="35"/>
  <c r="N53" i="35"/>
  <c r="N54" i="35"/>
  <c r="J51" i="35"/>
  <c r="K51" i="35" s="1"/>
  <c r="N51" i="35"/>
  <c r="S51" i="35"/>
  <c r="J54" i="35"/>
  <c r="K54" i="35" s="1"/>
  <c r="J53" i="35"/>
  <c r="K53" i="35" s="1"/>
  <c r="S53" i="35"/>
  <c r="J52" i="35"/>
  <c r="K52" i="35" s="1"/>
  <c r="S52" i="35"/>
  <c r="S54" i="35"/>
  <c r="V104" i="35" l="1"/>
  <c r="W104" i="35"/>
  <c r="V108" i="35"/>
  <c r="W108" i="35"/>
  <c r="V107" i="35"/>
  <c r="W107" i="35"/>
  <c r="V106" i="35"/>
  <c r="W106" i="35"/>
  <c r="V54" i="35"/>
  <c r="W54" i="35"/>
  <c r="V53" i="35"/>
  <c r="W53" i="35"/>
  <c r="V51" i="35"/>
  <c r="W51" i="35"/>
  <c r="V52" i="35"/>
  <c r="W52" i="35"/>
  <c r="H6" i="35" l="1"/>
  <c r="L6" i="35"/>
  <c r="M89" i="35"/>
  <c r="S136" i="35" l="1"/>
  <c r="S135" i="35"/>
  <c r="S134" i="35"/>
  <c r="S133" i="35"/>
  <c r="S132" i="35"/>
  <c r="S131" i="35"/>
  <c r="V135" i="35"/>
  <c r="S7" i="35"/>
  <c r="S8" i="35"/>
  <c r="S9" i="35"/>
  <c r="S10" i="35"/>
  <c r="S11" i="35"/>
  <c r="S12" i="35"/>
  <c r="S13" i="35"/>
  <c r="S14" i="35"/>
  <c r="S15" i="35"/>
  <c r="S16" i="35"/>
  <c r="S17" i="35"/>
  <c r="S18" i="35"/>
  <c r="S19" i="35"/>
  <c r="S20" i="35"/>
  <c r="S21" i="35"/>
  <c r="S22" i="35"/>
  <c r="S23" i="35"/>
  <c r="S24" i="35"/>
  <c r="S25" i="35"/>
  <c r="S26" i="35"/>
  <c r="S27" i="35"/>
  <c r="S28" i="35"/>
  <c r="S29" i="35"/>
  <c r="S30" i="35"/>
  <c r="S31" i="35"/>
  <c r="S32" i="35"/>
  <c r="S33" i="35"/>
  <c r="S34" i="35"/>
  <c r="S35" i="35"/>
  <c r="S36" i="35"/>
  <c r="S37" i="35"/>
  <c r="S38" i="35"/>
  <c r="S39" i="35"/>
  <c r="S40" i="35"/>
  <c r="S41" i="35"/>
  <c r="S42" i="35"/>
  <c r="S43" i="35"/>
  <c r="S44" i="35"/>
  <c r="S45" i="35"/>
  <c r="S46" i="35"/>
  <c r="S47" i="35"/>
  <c r="S48" i="35"/>
  <c r="S49" i="35"/>
  <c r="W49" i="35" s="1"/>
  <c r="S50" i="35"/>
  <c r="W50" i="35" s="1"/>
  <c r="S55" i="35"/>
  <c r="S56" i="35"/>
  <c r="S57" i="35"/>
  <c r="S58" i="35"/>
  <c r="S59" i="35"/>
  <c r="S60" i="35"/>
  <c r="S61" i="35"/>
  <c r="S62" i="35"/>
  <c r="S63" i="35"/>
  <c r="S64" i="35"/>
  <c r="S65" i="35"/>
  <c r="S66" i="35"/>
  <c r="S67" i="35"/>
  <c r="S68" i="35"/>
  <c r="S69" i="35"/>
  <c r="S70" i="35"/>
  <c r="S71" i="35"/>
  <c r="S72" i="35"/>
  <c r="S73" i="35"/>
  <c r="S74" i="35"/>
  <c r="S75" i="35"/>
  <c r="S76" i="35"/>
  <c r="S77" i="35"/>
  <c r="S78" i="35"/>
  <c r="S79" i="35"/>
  <c r="S80" i="35"/>
  <c r="S81" i="35"/>
  <c r="S82" i="35"/>
  <c r="S83" i="35"/>
  <c r="S84" i="35"/>
  <c r="S85" i="35"/>
  <c r="S86" i="35"/>
  <c r="S87" i="35"/>
  <c r="S88" i="35"/>
  <c r="S89" i="35"/>
  <c r="S90" i="35"/>
  <c r="S91" i="35"/>
  <c r="S92" i="35"/>
  <c r="S93" i="35"/>
  <c r="S94" i="35"/>
  <c r="S95" i="35"/>
  <c r="S96" i="35"/>
  <c r="S98" i="35"/>
  <c r="S99" i="35"/>
  <c r="S100" i="35"/>
  <c r="S101" i="35"/>
  <c r="S102" i="35"/>
  <c r="S103" i="35"/>
  <c r="W103" i="35" s="1"/>
  <c r="S105" i="35"/>
  <c r="W105" i="35" s="1"/>
  <c r="S109" i="35"/>
  <c r="S110" i="35"/>
  <c r="S111" i="35"/>
  <c r="S112" i="35"/>
  <c r="S113" i="35"/>
  <c r="S114" i="35"/>
  <c r="S115" i="35"/>
  <c r="S116" i="35"/>
  <c r="S117" i="35"/>
  <c r="S118" i="35"/>
  <c r="S119" i="35"/>
  <c r="S120" i="35"/>
  <c r="S121" i="35"/>
  <c r="S122" i="35"/>
  <c r="S123" i="35"/>
  <c r="S124" i="35"/>
  <c r="S125" i="35"/>
  <c r="S126" i="35"/>
  <c r="S127" i="35"/>
  <c r="S128" i="35"/>
  <c r="S129" i="35"/>
  <c r="S130" i="35"/>
  <c r="S137" i="35"/>
  <c r="S138" i="35"/>
  <c r="S139" i="35"/>
  <c r="S140" i="35"/>
  <c r="S141" i="35"/>
  <c r="S142" i="35"/>
  <c r="S143" i="35"/>
  <c r="S144" i="35"/>
  <c r="S145" i="35"/>
  <c r="S146" i="35"/>
  <c r="S147" i="35"/>
  <c r="S148" i="35"/>
  <c r="S149" i="35"/>
  <c r="S150" i="35"/>
  <c r="S151" i="35"/>
  <c r="S152" i="35"/>
  <c r="S153" i="35"/>
  <c r="S154" i="35"/>
  <c r="S155" i="35"/>
  <c r="S156" i="35"/>
  <c r="S157" i="35"/>
  <c r="S158" i="35"/>
  <c r="S159" i="35"/>
  <c r="S160" i="35"/>
  <c r="S161" i="35"/>
  <c r="S162" i="35"/>
  <c r="S163" i="35"/>
  <c r="S164" i="35"/>
  <c r="S165" i="35"/>
  <c r="S166" i="35"/>
  <c r="S167" i="35"/>
  <c r="S168" i="35"/>
  <c r="S169" i="35"/>
  <c r="S170" i="35"/>
  <c r="S171" i="35"/>
  <c r="S172" i="35"/>
  <c r="S173" i="35"/>
  <c r="S174" i="35"/>
  <c r="S175" i="35"/>
  <c r="S176" i="35"/>
  <c r="S177" i="35"/>
  <c r="S178" i="35"/>
  <c r="S179" i="35"/>
  <c r="S180" i="35"/>
  <c r="S181" i="35"/>
  <c r="S182" i="35"/>
  <c r="S183" i="35"/>
  <c r="S184" i="35"/>
  <c r="S185" i="35"/>
  <c r="S186" i="35"/>
  <c r="S187" i="35"/>
  <c r="S188" i="35"/>
  <c r="S189" i="35"/>
  <c r="S190" i="35"/>
  <c r="S191" i="35"/>
  <c r="S192" i="35"/>
  <c r="S193" i="35"/>
  <c r="S194" i="35"/>
  <c r="S195" i="35"/>
  <c r="S196" i="35"/>
  <c r="S197" i="35"/>
  <c r="S198" i="35"/>
  <c r="S199" i="35"/>
  <c r="S200" i="35"/>
  <c r="S201" i="35"/>
  <c r="S202" i="35"/>
  <c r="S203" i="35"/>
  <c r="S204" i="35"/>
  <c r="S205" i="35"/>
  <c r="S206" i="35"/>
  <c r="S207" i="35"/>
  <c r="S208" i="35"/>
  <c r="S209" i="35"/>
  <c r="S210" i="35"/>
  <c r="O210" i="35"/>
  <c r="O207" i="35"/>
  <c r="O164" i="35"/>
  <c r="O162" i="35"/>
  <c r="O134" i="35"/>
  <c r="O72" i="35"/>
  <c r="O205" i="35"/>
  <c r="O198" i="35"/>
  <c r="O197" i="35"/>
  <c r="O194" i="35"/>
  <c r="O186" i="35"/>
  <c r="O185" i="35"/>
  <c r="O184" i="35"/>
  <c r="O183" i="35"/>
  <c r="O182" i="35"/>
  <c r="O177" i="35"/>
  <c r="O176" i="35"/>
  <c r="O172" i="35"/>
  <c r="O159" i="35"/>
  <c r="O156" i="35"/>
  <c r="O153" i="35"/>
  <c r="O152" i="35"/>
  <c r="O151" i="35"/>
  <c r="O149" i="35"/>
  <c r="O147" i="35"/>
  <c r="O146" i="35"/>
  <c r="O144" i="35"/>
  <c r="O143" i="35"/>
  <c r="O142" i="35"/>
  <c r="O141" i="35"/>
  <c r="O140" i="35"/>
  <c r="O138" i="35"/>
  <c r="O137" i="35"/>
  <c r="O130" i="35"/>
  <c r="O125" i="35"/>
  <c r="O124" i="35"/>
  <c r="O115" i="35"/>
  <c r="O114" i="35"/>
  <c r="O111" i="35"/>
  <c r="O101" i="35"/>
  <c r="O100" i="35"/>
  <c r="O99" i="35"/>
  <c r="O98" i="35"/>
  <c r="O82" i="35"/>
  <c r="O78" i="35"/>
  <c r="O75" i="35"/>
  <c r="O74" i="35"/>
  <c r="O73" i="35"/>
  <c r="O71" i="35"/>
  <c r="O68" i="35"/>
  <c r="O67" i="35"/>
  <c r="O66" i="35"/>
  <c r="O64" i="35"/>
  <c r="O63" i="35"/>
  <c r="O61" i="35"/>
  <c r="O60" i="35"/>
  <c r="O59" i="35"/>
  <c r="O47" i="35"/>
  <c r="O46" i="35"/>
  <c r="O42" i="35"/>
  <c r="O41" i="35"/>
  <c r="O40" i="35"/>
  <c r="O38" i="35"/>
  <c r="O37" i="35"/>
  <c r="O29" i="35"/>
  <c r="O28" i="35"/>
  <c r="O27" i="35"/>
  <c r="O26" i="35"/>
  <c r="O25" i="35"/>
  <c r="O24" i="35"/>
  <c r="O23" i="35"/>
  <c r="O7" i="35"/>
  <c r="M6" i="35"/>
  <c r="N6" i="35" s="1"/>
  <c r="O6" i="35"/>
  <c r="O203" i="35"/>
  <c r="O180" i="35"/>
  <c r="O163" i="35"/>
  <c r="O56" i="35"/>
  <c r="O45" i="35"/>
  <c r="O136" i="35"/>
  <c r="O135" i="35"/>
  <c r="O131" i="35"/>
  <c r="O199" i="35"/>
  <c r="O192" i="35"/>
  <c r="O133" i="35"/>
  <c r="O132" i="35"/>
  <c r="O129" i="35"/>
  <c r="O83" i="35"/>
  <c r="O48" i="35"/>
  <c r="O43" i="35"/>
  <c r="O201" i="35"/>
  <c r="O200" i="35"/>
  <c r="M200" i="35"/>
  <c r="O196" i="35"/>
  <c r="O179" i="35"/>
  <c r="O175" i="35"/>
  <c r="O169" i="35"/>
  <c r="O127" i="35"/>
  <c r="O123" i="35"/>
  <c r="O121" i="35"/>
  <c r="O120" i="35"/>
  <c r="O96" i="35"/>
  <c r="O76" i="35"/>
  <c r="O39" i="35"/>
  <c r="O32" i="35"/>
  <c r="O30" i="35"/>
  <c r="O22" i="35"/>
  <c r="O21" i="35"/>
  <c r="O20" i="35"/>
  <c r="O19" i="35"/>
  <c r="O18" i="35"/>
  <c r="O17" i="35"/>
  <c r="O16" i="35"/>
  <c r="O15" i="35"/>
  <c r="O14" i="35"/>
  <c r="O13" i="35"/>
  <c r="O10" i="35"/>
  <c r="O9" i="35"/>
  <c r="M205" i="35"/>
  <c r="O191" i="35"/>
  <c r="O157" i="35"/>
  <c r="O154" i="35"/>
  <c r="O128" i="35"/>
  <c r="O77" i="35"/>
  <c r="O65" i="35"/>
  <c r="O44" i="35"/>
  <c r="O187" i="35"/>
  <c r="O178" i="35"/>
  <c r="O168" i="35"/>
  <c r="O167" i="35"/>
  <c r="O166" i="35"/>
  <c r="O161" i="35"/>
  <c r="O160" i="35"/>
  <c r="O145" i="35"/>
  <c r="M130" i="35"/>
  <c r="M129" i="35"/>
  <c r="M127" i="35"/>
  <c r="O112" i="35"/>
  <c r="O49" i="35"/>
  <c r="O12" i="35"/>
  <c r="O11" i="35"/>
  <c r="V39" i="35" l="1"/>
  <c r="V15" i="35"/>
  <c r="V11" i="35"/>
  <c r="W144" i="35"/>
  <c r="U144" i="35"/>
  <c r="U49" i="35"/>
  <c r="W142" i="35"/>
  <c r="U142" i="35"/>
  <c r="W123" i="35"/>
  <c r="U123" i="35"/>
  <c r="W70" i="35"/>
  <c r="U70" i="35"/>
  <c r="W143" i="35"/>
  <c r="U143" i="35"/>
  <c r="W163" i="35"/>
  <c r="U163" i="35"/>
  <c r="W120" i="35"/>
  <c r="U120" i="35"/>
  <c r="W68" i="35"/>
  <c r="U68" i="35"/>
  <c r="W196" i="35"/>
  <c r="U196" i="35"/>
  <c r="W161" i="35"/>
  <c r="U161" i="35"/>
  <c r="W85" i="35"/>
  <c r="U85" i="35"/>
  <c r="W67" i="35"/>
  <c r="U67" i="35"/>
  <c r="W29" i="35"/>
  <c r="U29" i="35"/>
  <c r="W55" i="35"/>
  <c r="U55" i="35"/>
  <c r="W31" i="35"/>
  <c r="U31" i="35"/>
  <c r="W102" i="35"/>
  <c r="U102" i="35"/>
  <c r="W141" i="35"/>
  <c r="U141" i="35"/>
  <c r="W180" i="35"/>
  <c r="U180" i="35"/>
  <c r="W160" i="35"/>
  <c r="U160" i="35"/>
  <c r="W140" i="35"/>
  <c r="U140" i="35"/>
  <c r="W118" i="35"/>
  <c r="U118" i="35"/>
  <c r="W84" i="35"/>
  <c r="U84" i="35"/>
  <c r="W66" i="35"/>
  <c r="U66" i="35"/>
  <c r="W28" i="35"/>
  <c r="U28" i="35"/>
  <c r="V10" i="35"/>
  <c r="W9" i="35"/>
  <c r="U9" i="35"/>
  <c r="W162" i="35"/>
  <c r="U162" i="35"/>
  <c r="W86" i="35"/>
  <c r="U86" i="35"/>
  <c r="W30" i="35"/>
  <c r="U30" i="35"/>
  <c r="W119" i="35"/>
  <c r="U119" i="35"/>
  <c r="W179" i="35"/>
  <c r="U179" i="35"/>
  <c r="W159" i="35"/>
  <c r="U159" i="35"/>
  <c r="W139" i="35"/>
  <c r="U139" i="35"/>
  <c r="W83" i="35"/>
  <c r="U83" i="35"/>
  <c r="W47" i="35"/>
  <c r="U47" i="35"/>
  <c r="W27" i="35"/>
  <c r="U27" i="35"/>
  <c r="W122" i="35"/>
  <c r="U122" i="35"/>
  <c r="W181" i="35"/>
  <c r="U181" i="35"/>
  <c r="W69" i="35"/>
  <c r="U69" i="35"/>
  <c r="W183" i="35"/>
  <c r="U183" i="35"/>
  <c r="U105" i="35"/>
  <c r="W197" i="35"/>
  <c r="U197" i="35"/>
  <c r="W121" i="35"/>
  <c r="U121" i="35"/>
  <c r="W210" i="35"/>
  <c r="U210" i="35"/>
  <c r="W117" i="35"/>
  <c r="U117" i="35"/>
  <c r="W177" i="35"/>
  <c r="U177" i="35"/>
  <c r="W7" i="35"/>
  <c r="U7" i="35"/>
  <c r="W82" i="35"/>
  <c r="U82" i="35"/>
  <c r="W80" i="35"/>
  <c r="U80" i="35"/>
  <c r="W175" i="35"/>
  <c r="U175" i="35"/>
  <c r="W101" i="35"/>
  <c r="U101" i="35"/>
  <c r="W63" i="35"/>
  <c r="U63" i="35"/>
  <c r="W23" i="35"/>
  <c r="U23" i="35"/>
  <c r="W174" i="35"/>
  <c r="U174" i="35"/>
  <c r="W22" i="35"/>
  <c r="U22" i="35"/>
  <c r="W191" i="35"/>
  <c r="U191" i="35"/>
  <c r="W155" i="35"/>
  <c r="U155" i="35"/>
  <c r="W128" i="35"/>
  <c r="U128" i="35"/>
  <c r="W115" i="35"/>
  <c r="U115" i="35"/>
  <c r="W78" i="35"/>
  <c r="U78" i="35"/>
  <c r="W62" i="35"/>
  <c r="U62" i="35"/>
  <c r="W21" i="35"/>
  <c r="U21" i="35"/>
  <c r="W131" i="35"/>
  <c r="U131" i="35"/>
  <c r="W145" i="35"/>
  <c r="U145" i="35"/>
  <c r="W164" i="35"/>
  <c r="U164" i="35"/>
  <c r="W26" i="35"/>
  <c r="U26" i="35"/>
  <c r="W207" i="35"/>
  <c r="U207" i="35"/>
  <c r="W79" i="35"/>
  <c r="U79" i="35"/>
  <c r="W44" i="35"/>
  <c r="U44" i="35"/>
  <c r="W156" i="35"/>
  <c r="U156" i="35"/>
  <c r="W129" i="35"/>
  <c r="U129" i="35"/>
  <c r="W100" i="35"/>
  <c r="U100" i="35"/>
  <c r="W43" i="35"/>
  <c r="U43" i="35"/>
  <c r="W206" i="35"/>
  <c r="U206" i="35"/>
  <c r="W173" i="35"/>
  <c r="U173" i="35"/>
  <c r="W99" i="35"/>
  <c r="U99" i="35"/>
  <c r="W205" i="35"/>
  <c r="U205" i="35"/>
  <c r="W172" i="35"/>
  <c r="U172" i="35"/>
  <c r="W154" i="35"/>
  <c r="U154" i="35"/>
  <c r="W114" i="35"/>
  <c r="U114" i="35"/>
  <c r="W98" i="35"/>
  <c r="U98" i="35"/>
  <c r="W61" i="35"/>
  <c r="U61" i="35"/>
  <c r="W42" i="35"/>
  <c r="U42" i="35"/>
  <c r="W20" i="35"/>
  <c r="U20" i="35"/>
  <c r="W132" i="35"/>
  <c r="U132" i="35"/>
  <c r="W89" i="35"/>
  <c r="U89" i="35"/>
  <c r="U103" i="35"/>
  <c r="W87" i="35"/>
  <c r="U87" i="35"/>
  <c r="W178" i="35"/>
  <c r="U178" i="35"/>
  <c r="W46" i="35"/>
  <c r="U46" i="35"/>
  <c r="W157" i="35"/>
  <c r="U157" i="35"/>
  <c r="W45" i="35"/>
  <c r="U45" i="35"/>
  <c r="W137" i="35"/>
  <c r="U137" i="35"/>
  <c r="W24" i="35"/>
  <c r="U24" i="35"/>
  <c r="W190" i="35"/>
  <c r="U190" i="35"/>
  <c r="W189" i="35"/>
  <c r="U189" i="35"/>
  <c r="W18" i="35"/>
  <c r="U18" i="35"/>
  <c r="W126" i="35"/>
  <c r="U126" i="35"/>
  <c r="W39" i="35"/>
  <c r="U39" i="35"/>
  <c r="W74" i="35"/>
  <c r="U74" i="35"/>
  <c r="W187" i="35"/>
  <c r="U187" i="35"/>
  <c r="W168" i="35"/>
  <c r="U168" i="35"/>
  <c r="W149" i="35"/>
  <c r="U149" i="35"/>
  <c r="W110" i="35"/>
  <c r="U110" i="35"/>
  <c r="W95" i="35"/>
  <c r="U95" i="35"/>
  <c r="W56" i="35"/>
  <c r="U56" i="35"/>
  <c r="W37" i="35"/>
  <c r="U37" i="35"/>
  <c r="W15" i="35"/>
  <c r="U15" i="35"/>
  <c r="W134" i="35"/>
  <c r="U134" i="35"/>
  <c r="W32" i="35"/>
  <c r="U32" i="35"/>
  <c r="W88" i="35"/>
  <c r="U88" i="35"/>
  <c r="W65" i="35"/>
  <c r="U65" i="35"/>
  <c r="W209" i="35"/>
  <c r="U209" i="35"/>
  <c r="W81" i="35"/>
  <c r="U81" i="35"/>
  <c r="W130" i="35"/>
  <c r="U130" i="35"/>
  <c r="W127" i="35"/>
  <c r="U127" i="35"/>
  <c r="W77" i="35"/>
  <c r="U77" i="35"/>
  <c r="W170" i="35"/>
  <c r="U170" i="35"/>
  <c r="W59" i="35"/>
  <c r="U59" i="35"/>
  <c r="W133" i="35"/>
  <c r="U133" i="35"/>
  <c r="W202" i="35"/>
  <c r="U202" i="35"/>
  <c r="W150" i="35"/>
  <c r="U150" i="35"/>
  <c r="W38" i="35"/>
  <c r="U38" i="35"/>
  <c r="W201" i="35"/>
  <c r="U201" i="35"/>
  <c r="W167" i="35"/>
  <c r="U167" i="35"/>
  <c r="W148" i="35"/>
  <c r="U148" i="35"/>
  <c r="W94" i="35"/>
  <c r="U94" i="35"/>
  <c r="W73" i="35"/>
  <c r="U73" i="35"/>
  <c r="W36" i="35"/>
  <c r="U36" i="35"/>
  <c r="W14" i="35"/>
  <c r="U14" i="35"/>
  <c r="W10" i="35"/>
  <c r="U10" i="35"/>
  <c r="W8" i="35"/>
  <c r="U8" i="35"/>
  <c r="W158" i="35"/>
  <c r="U158" i="35"/>
  <c r="W194" i="35"/>
  <c r="U194" i="35"/>
  <c r="W193" i="35"/>
  <c r="U193" i="35"/>
  <c r="W192" i="35"/>
  <c r="U192" i="35"/>
  <c r="W171" i="35"/>
  <c r="U171" i="35"/>
  <c r="W19" i="35"/>
  <c r="U19" i="35"/>
  <c r="W112" i="35"/>
  <c r="U112" i="35"/>
  <c r="W188" i="35"/>
  <c r="U188" i="35"/>
  <c r="W151" i="35"/>
  <c r="U151" i="35"/>
  <c r="W111" i="35"/>
  <c r="U111" i="35"/>
  <c r="W96" i="35"/>
  <c r="U96" i="35"/>
  <c r="W75" i="35"/>
  <c r="U75" i="35"/>
  <c r="W125" i="35"/>
  <c r="U125" i="35"/>
  <c r="W186" i="35"/>
  <c r="U186" i="35"/>
  <c r="W166" i="35"/>
  <c r="U166" i="35"/>
  <c r="W147" i="35"/>
  <c r="U147" i="35"/>
  <c r="W109" i="35"/>
  <c r="U109" i="35"/>
  <c r="W93" i="35"/>
  <c r="U93" i="35"/>
  <c r="W72" i="35"/>
  <c r="U72" i="35"/>
  <c r="W35" i="35"/>
  <c r="U35" i="35"/>
  <c r="W13" i="35"/>
  <c r="U13" i="35"/>
  <c r="W90" i="35"/>
  <c r="U90" i="35"/>
  <c r="W48" i="35"/>
  <c r="U48" i="35"/>
  <c r="W195" i="35"/>
  <c r="U195" i="35"/>
  <c r="W138" i="35"/>
  <c r="U138" i="35"/>
  <c r="W25" i="35"/>
  <c r="U25" i="35"/>
  <c r="W208" i="35"/>
  <c r="U208" i="35"/>
  <c r="W64" i="35"/>
  <c r="U64" i="35"/>
  <c r="W116" i="35"/>
  <c r="U116" i="35"/>
  <c r="W204" i="35"/>
  <c r="U204" i="35"/>
  <c r="W113" i="35"/>
  <c r="U113" i="35"/>
  <c r="W41" i="35"/>
  <c r="U41" i="35"/>
  <c r="W152" i="35"/>
  <c r="U152" i="35"/>
  <c r="W40" i="35"/>
  <c r="U40" i="35"/>
  <c r="W203" i="35"/>
  <c r="U203" i="35"/>
  <c r="W17" i="35"/>
  <c r="U17" i="35"/>
  <c r="W16" i="35"/>
  <c r="U16" i="35"/>
  <c r="W200" i="35"/>
  <c r="U200" i="35"/>
  <c r="W185" i="35"/>
  <c r="U185" i="35"/>
  <c r="W92" i="35"/>
  <c r="U92" i="35"/>
  <c r="W34" i="35"/>
  <c r="U34" i="35"/>
  <c r="W12" i="35"/>
  <c r="U12" i="35"/>
  <c r="W135" i="35"/>
  <c r="U135" i="35"/>
  <c r="W198" i="35"/>
  <c r="U198" i="35"/>
  <c r="U50" i="35"/>
  <c r="W182" i="35"/>
  <c r="U182" i="35"/>
  <c r="W176" i="35"/>
  <c r="U176" i="35"/>
  <c r="W153" i="35"/>
  <c r="U153" i="35"/>
  <c r="W60" i="35"/>
  <c r="U60" i="35"/>
  <c r="W76" i="35"/>
  <c r="U76" i="35"/>
  <c r="W169" i="35"/>
  <c r="U169" i="35"/>
  <c r="W58" i="35"/>
  <c r="U58" i="35"/>
  <c r="W57" i="35"/>
  <c r="U57" i="35"/>
  <c r="W199" i="35"/>
  <c r="U199" i="35"/>
  <c r="W184" i="35"/>
  <c r="U184" i="35"/>
  <c r="W165" i="35"/>
  <c r="U165" i="35"/>
  <c r="W146" i="35"/>
  <c r="U146" i="35"/>
  <c r="W124" i="35"/>
  <c r="U124" i="35"/>
  <c r="W91" i="35"/>
  <c r="U91" i="35"/>
  <c r="W71" i="35"/>
  <c r="U71" i="35"/>
  <c r="W33" i="35"/>
  <c r="U33" i="35"/>
  <c r="W11" i="35"/>
  <c r="U11" i="35"/>
  <c r="W136" i="35"/>
  <c r="U136" i="35"/>
  <c r="V13" i="35"/>
  <c r="V92" i="35"/>
  <c r="V90" i="35"/>
  <c r="V89" i="35"/>
  <c r="V70" i="35"/>
  <c r="V61" i="35"/>
  <c r="V144" i="35"/>
  <c r="V50" i="35"/>
  <c r="V145" i="35"/>
  <c r="V136" i="35"/>
  <c r="V42" i="35"/>
  <c r="V40" i="35"/>
  <c r="V186" i="35"/>
  <c r="V130" i="35"/>
  <c r="V14" i="35"/>
  <c r="V185" i="35"/>
  <c r="V146" i="35"/>
  <c r="V129" i="35"/>
  <c r="V91" i="35"/>
  <c r="V183" i="35"/>
  <c r="V38" i="35"/>
  <c r="V143" i="35"/>
  <c r="V83" i="35"/>
  <c r="V37" i="35"/>
  <c r="V184" i="35"/>
  <c r="V9" i="35"/>
  <c r="V182" i="35"/>
  <c r="V124" i="35"/>
  <c r="V82" i="35"/>
  <c r="V29" i="35"/>
  <c r="V201" i="35"/>
  <c r="V181" i="35"/>
  <c r="V142" i="35"/>
  <c r="V123" i="35"/>
  <c r="V81" i="35"/>
  <c r="V47" i="35"/>
  <c r="V28" i="35"/>
  <c r="V105" i="35"/>
  <c r="V46" i="35"/>
  <c r="V27" i="35"/>
  <c r="V200" i="35"/>
  <c r="V122" i="35"/>
  <c r="V78" i="35"/>
  <c r="V45" i="35"/>
  <c r="V26" i="35"/>
  <c r="V199" i="35"/>
  <c r="V165" i="35"/>
  <c r="V121" i="35"/>
  <c r="V44" i="35"/>
  <c r="V25" i="35"/>
  <c r="V17" i="35"/>
  <c r="V120" i="35"/>
  <c r="V96" i="35"/>
  <c r="V71" i="35"/>
  <c r="V43" i="35"/>
  <c r="V21" i="35"/>
  <c r="V16" i="35"/>
  <c r="V132" i="35"/>
  <c r="V116" i="35"/>
  <c r="V93" i="35"/>
  <c r="V20" i="35"/>
  <c r="V49" i="35"/>
  <c r="V69" i="35"/>
  <c r="V67" i="35"/>
  <c r="V88" i="35"/>
  <c r="V66" i="35"/>
  <c r="V24" i="35"/>
  <c r="V85" i="35"/>
  <c r="V23" i="35"/>
  <c r="V12" i="35"/>
  <c r="V141" i="35"/>
  <c r="V103" i="35"/>
  <c r="V84" i="35"/>
  <c r="V65" i="35"/>
  <c r="V22" i="35"/>
  <c r="V119" i="35"/>
  <c r="V64" i="35"/>
  <c r="V168" i="35"/>
  <c r="V117" i="35"/>
  <c r="V63" i="35"/>
  <c r="V19" i="35"/>
  <c r="V8" i="35"/>
  <c r="V167" i="35"/>
  <c r="V80" i="35"/>
  <c r="V18" i="35"/>
  <c r="V166" i="35"/>
  <c r="V79" i="35"/>
  <c r="V62" i="35"/>
  <c r="V41" i="35"/>
  <c r="V131" i="35"/>
  <c r="V60" i="35"/>
  <c r="V99" i="35"/>
  <c r="V77" i="35"/>
  <c r="V100" i="35"/>
  <c r="V198" i="35"/>
  <c r="V164" i="35"/>
  <c r="V128" i="35"/>
  <c r="V113" i="35"/>
  <c r="V98" i="35"/>
  <c r="V76" i="35"/>
  <c r="V57" i="35"/>
  <c r="V36" i="35"/>
  <c r="V114" i="35"/>
  <c r="V163" i="35"/>
  <c r="V112" i="35"/>
  <c r="V75" i="35"/>
  <c r="V56" i="35"/>
  <c r="V35" i="35"/>
  <c r="V115" i="35"/>
  <c r="V58" i="35"/>
  <c r="V197" i="35"/>
  <c r="V162" i="35"/>
  <c r="V127" i="35"/>
  <c r="V111" i="35"/>
  <c r="V74" i="35"/>
  <c r="V34" i="35"/>
  <c r="V33" i="35"/>
  <c r="V149" i="35"/>
  <c r="V126" i="35"/>
  <c r="V110" i="35"/>
  <c r="V73" i="35"/>
  <c r="V32" i="35"/>
  <c r="V59" i="35"/>
  <c r="V161" i="35"/>
  <c r="V196" i="35"/>
  <c r="V148" i="35"/>
  <c r="V125" i="35"/>
  <c r="V95" i="35"/>
  <c r="V72" i="35"/>
  <c r="V101" i="35"/>
  <c r="V187" i="35"/>
  <c r="V147" i="35"/>
  <c r="V109" i="35"/>
  <c r="V94" i="35"/>
  <c r="V55" i="35"/>
  <c r="V31" i="35"/>
  <c r="V7" i="35"/>
  <c r="V160" i="35"/>
  <c r="V159" i="35"/>
  <c r="V210" i="35"/>
  <c r="V158" i="35"/>
  <c r="V138" i="35"/>
  <c r="V177" i="35"/>
  <c r="V180" i="35"/>
  <c r="V195" i="35"/>
  <c r="V194" i="35"/>
  <c r="V157" i="35"/>
  <c r="V192" i="35"/>
  <c r="V156" i="35"/>
  <c r="V206" i="35"/>
  <c r="V173" i="35"/>
  <c r="V190" i="35"/>
  <c r="V153" i="35"/>
  <c r="V170" i="35"/>
  <c r="V179" i="35"/>
  <c r="V208" i="35"/>
  <c r="V176" i="35"/>
  <c r="V137" i="35"/>
  <c r="V175" i="35"/>
  <c r="V155" i="35"/>
  <c r="V172" i="35"/>
  <c r="V171" i="35"/>
  <c r="V152" i="35"/>
  <c r="V203" i="35"/>
  <c r="V188" i="35"/>
  <c r="V169" i="35"/>
  <c r="V151" i="35"/>
  <c r="V133" i="35"/>
  <c r="V118" i="35"/>
  <c r="V87" i="35"/>
  <c r="V48" i="35"/>
  <c r="V140" i="35"/>
  <c r="V139" i="35"/>
  <c r="V178" i="35"/>
  <c r="V209" i="35"/>
  <c r="V193" i="35"/>
  <c r="V207" i="35"/>
  <c r="V174" i="35"/>
  <c r="V191" i="35"/>
  <c r="V205" i="35"/>
  <c r="V154" i="35"/>
  <c r="V204" i="35"/>
  <c r="V134" i="35"/>
  <c r="V189" i="35"/>
  <c r="V202" i="35"/>
  <c r="V150" i="35"/>
  <c r="V102" i="35"/>
  <c r="V86" i="35"/>
  <c r="V68" i="35"/>
  <c r="V30" i="35"/>
  <c r="M198" i="35"/>
  <c r="M197" i="35"/>
  <c r="M194" i="35"/>
  <c r="M186" i="35"/>
  <c r="M185" i="35"/>
  <c r="M184" i="35"/>
  <c r="M183" i="35"/>
  <c r="M182" i="35"/>
  <c r="M177" i="35"/>
  <c r="M176" i="35"/>
  <c r="M172" i="35"/>
  <c r="M159" i="35"/>
  <c r="M156" i="35"/>
  <c r="M153" i="35"/>
  <c r="M152" i="35"/>
  <c r="M151" i="35"/>
  <c r="M149" i="35"/>
  <c r="M147" i="35"/>
  <c r="M146" i="35"/>
  <c r="M144" i="35"/>
  <c r="M143" i="35"/>
  <c r="M142" i="35"/>
  <c r="M141" i="35"/>
  <c r="M140" i="35"/>
  <c r="M138" i="35"/>
  <c r="M137" i="35"/>
  <c r="M125" i="35"/>
  <c r="M124" i="35"/>
  <c r="M115" i="35"/>
  <c r="M114" i="35"/>
  <c r="M111" i="35"/>
  <c r="M101" i="35"/>
  <c r="M100" i="35"/>
  <c r="M99" i="35"/>
  <c r="M98" i="35"/>
  <c r="M82" i="35"/>
  <c r="M78" i="35"/>
  <c r="M75" i="35"/>
  <c r="M74" i="35"/>
  <c r="M73" i="35"/>
  <c r="M71" i="35"/>
  <c r="M68" i="35"/>
  <c r="M67" i="35"/>
  <c r="M66" i="35"/>
  <c r="M64" i="35"/>
  <c r="M63" i="35"/>
  <c r="M61" i="35"/>
  <c r="M60" i="35"/>
  <c r="M59" i="35"/>
  <c r="M47" i="35"/>
  <c r="M46" i="35"/>
  <c r="M42" i="35"/>
  <c r="M41" i="35"/>
  <c r="M40" i="35"/>
  <c r="M38" i="35"/>
  <c r="M37" i="35"/>
  <c r="M29" i="35"/>
  <c r="M28" i="35"/>
  <c r="M27" i="35"/>
  <c r="M26" i="35"/>
  <c r="M25" i="35"/>
  <c r="M24" i="35"/>
  <c r="M23" i="35"/>
  <c r="M7" i="35"/>
  <c r="M134" i="35"/>
  <c r="M132" i="35"/>
  <c r="M13" i="35"/>
  <c r="M10" i="35"/>
  <c r="O174" i="35"/>
  <c r="O173" i="35"/>
  <c r="O155" i="35"/>
  <c r="O116" i="35"/>
  <c r="O113" i="35"/>
  <c r="O110" i="35"/>
  <c r="O109" i="35"/>
  <c r="O88" i="35"/>
  <c r="O87" i="35"/>
  <c r="O84" i="35"/>
  <c r="O79" i="35"/>
  <c r="O69" i="35"/>
  <c r="O62" i="35"/>
  <c r="O58" i="35"/>
  <c r="O35" i="35"/>
  <c r="M30" i="35"/>
  <c r="M178" i="35"/>
  <c r="M201" i="35"/>
  <c r="M199" i="35"/>
  <c r="M196" i="35"/>
  <c r="M187" i="35"/>
  <c r="M179" i="35"/>
  <c r="M175" i="35"/>
  <c r="M169" i="35"/>
  <c r="M123" i="35"/>
  <c r="M122" i="35"/>
  <c r="M121" i="35"/>
  <c r="M120" i="35"/>
  <c r="M96" i="35"/>
  <c r="M76" i="35"/>
  <c r="M72" i="35"/>
  <c r="M45" i="35"/>
  <c r="M39" i="35"/>
  <c r="M36" i="35"/>
  <c r="M32" i="35"/>
  <c r="M22" i="35"/>
  <c r="M21" i="35"/>
  <c r="M20" i="35"/>
  <c r="M19" i="35"/>
  <c r="M18" i="35"/>
  <c r="M17" i="35"/>
  <c r="M16" i="35"/>
  <c r="M15" i="35"/>
  <c r="M14" i="35"/>
  <c r="M9" i="35"/>
  <c r="M136" i="35"/>
  <c r="M135" i="35"/>
  <c r="M131" i="35"/>
  <c r="M191" i="35"/>
  <c r="M157" i="35"/>
  <c r="M154" i="35"/>
  <c r="M128" i="35"/>
  <c r="M77" i="35"/>
  <c r="M65" i="35"/>
  <c r="M56" i="35"/>
  <c r="M44" i="35"/>
  <c r="M193" i="35"/>
  <c r="M164" i="35"/>
  <c r="M119" i="35"/>
  <c r="M118" i="35"/>
  <c r="M116" i="35"/>
  <c r="M203" i="35"/>
  <c r="M180" i="35"/>
  <c r="M163" i="35"/>
  <c r="M192" i="35"/>
  <c r="M133" i="35"/>
  <c r="M83" i="35"/>
  <c r="M48" i="35"/>
  <c r="M43" i="35"/>
  <c r="M210" i="35"/>
  <c r="M207" i="35"/>
  <c r="M162" i="35"/>
  <c r="M202" i="35"/>
  <c r="M148" i="35"/>
  <c r="M102" i="35"/>
  <c r="O202" i="35"/>
  <c r="O188" i="35"/>
  <c r="O171" i="35"/>
  <c r="O165" i="35"/>
  <c r="O158" i="35"/>
  <c r="O102" i="35"/>
  <c r="M171" i="35"/>
  <c r="O126" i="35"/>
  <c r="O95" i="35"/>
  <c r="M168" i="35"/>
  <c r="M167" i="35"/>
  <c r="M166" i="35"/>
  <c r="M161" i="35"/>
  <c r="M160" i="35"/>
  <c r="M145" i="35"/>
  <c r="M112" i="35"/>
  <c r="M49" i="35"/>
  <c r="M12" i="35"/>
  <c r="M11" i="35"/>
  <c r="O94" i="35"/>
  <c r="O93" i="35"/>
  <c r="O92" i="35"/>
  <c r="M174" i="35"/>
  <c r="M173" i="35"/>
  <c r="M155" i="35"/>
  <c r="M113" i="35"/>
  <c r="M110" i="35"/>
  <c r="M109" i="35"/>
  <c r="M88" i="35"/>
  <c r="M87" i="35"/>
  <c r="M84" i="35"/>
  <c r="M79" i="35"/>
  <c r="M69" i="35"/>
  <c r="M62" i="35"/>
  <c r="M58" i="35"/>
  <c r="M35" i="35"/>
  <c r="O103" i="35"/>
  <c r="O190" i="35"/>
  <c r="O150" i="35"/>
  <c r="O139" i="35"/>
  <c r="O105" i="35"/>
  <c r="O50" i="35"/>
  <c r="O85" i="35"/>
  <c r="O31" i="35"/>
  <c r="O119" i="35"/>
  <c r="M126" i="35"/>
  <c r="M165" i="35"/>
  <c r="M158" i="35"/>
  <c r="M95" i="35"/>
  <c r="M188" i="35"/>
  <c r="M85" i="35"/>
  <c r="M31" i="35"/>
  <c r="M94" i="35"/>
  <c r="M93" i="35"/>
  <c r="M92" i="35"/>
  <c r="M190" i="35"/>
  <c r="M150" i="35"/>
  <c r="M139" i="35"/>
  <c r="M105" i="35"/>
  <c r="M50" i="35"/>
  <c r="M103" i="35"/>
  <c r="O81" i="35"/>
  <c r="M81" i="35"/>
  <c r="O80" i="35"/>
  <c r="M80" i="35"/>
  <c r="O91" i="35"/>
  <c r="O118" i="35"/>
  <c r="O117" i="35"/>
  <c r="O189" i="35"/>
  <c r="M189" i="35"/>
  <c r="M117" i="35"/>
  <c r="M91" i="35"/>
  <c r="O170" i="35"/>
  <c r="O148" i="35"/>
  <c r="O193" i="35"/>
  <c r="O209" i="35"/>
  <c r="O208" i="35"/>
  <c r="O204" i="35"/>
  <c r="O90" i="35"/>
  <c r="O89" i="35"/>
  <c r="O86" i="35"/>
  <c r="M170" i="35"/>
  <c r="U211" i="35" l="1"/>
  <c r="S211" i="35"/>
  <c r="W6" i="35"/>
  <c r="W211" i="35" s="1"/>
  <c r="O181" i="35"/>
  <c r="M90" i="35"/>
  <c r="M86" i="35"/>
  <c r="M209" i="35"/>
  <c r="M208" i="35"/>
  <c r="M204" i="35"/>
  <c r="M181" i="35"/>
  <c r="O57" i="35"/>
  <c r="M57" i="35"/>
  <c r="O195" i="35" l="1"/>
  <c r="M195" i="35" l="1"/>
  <c r="O206" i="35"/>
  <c r="O55" i="35"/>
  <c r="M206" i="35"/>
  <c r="M55" i="35"/>
  <c r="O34" i="35"/>
  <c r="O33" i="35"/>
  <c r="M34" i="35" l="1"/>
  <c r="M33" i="35"/>
  <c r="L7" i="35"/>
  <c r="P7" i="35" s="1"/>
  <c r="L8" i="35"/>
  <c r="P8" i="35" s="1"/>
  <c r="L9" i="35"/>
  <c r="P9" i="35" s="1"/>
  <c r="L10" i="35"/>
  <c r="L11" i="35"/>
  <c r="P11" i="35" s="1"/>
  <c r="L12" i="35"/>
  <c r="P12" i="35" s="1"/>
  <c r="L13" i="35"/>
  <c r="N13" i="35" s="1"/>
  <c r="L14" i="35"/>
  <c r="P14" i="35" s="1"/>
  <c r="L15" i="35"/>
  <c r="L16" i="35"/>
  <c r="P16" i="35" s="1"/>
  <c r="L17" i="35"/>
  <c r="P17" i="35" s="1"/>
  <c r="L18" i="35"/>
  <c r="L19" i="35"/>
  <c r="P19" i="35" s="1"/>
  <c r="L20" i="35"/>
  <c r="P20" i="35" s="1"/>
  <c r="L21" i="35"/>
  <c r="P21" i="35" s="1"/>
  <c r="L22" i="35"/>
  <c r="P22" i="35" s="1"/>
  <c r="L23" i="35"/>
  <c r="P23" i="35" s="1"/>
  <c r="L24" i="35"/>
  <c r="L25" i="35"/>
  <c r="P25" i="35" s="1"/>
  <c r="L26" i="35"/>
  <c r="P26" i="35" s="1"/>
  <c r="L27" i="35"/>
  <c r="L28" i="35"/>
  <c r="N28" i="35" s="1"/>
  <c r="L29" i="35"/>
  <c r="P29" i="35" s="1"/>
  <c r="L30" i="35"/>
  <c r="N30" i="35" s="1"/>
  <c r="L31" i="35"/>
  <c r="P31" i="35" s="1"/>
  <c r="L32" i="35"/>
  <c r="P32" i="35" s="1"/>
  <c r="L33" i="35"/>
  <c r="P33" i="35" s="1"/>
  <c r="L34" i="35"/>
  <c r="P34" i="35" s="1"/>
  <c r="L35" i="35"/>
  <c r="N35" i="35" s="1"/>
  <c r="L36" i="35"/>
  <c r="P36" i="35" s="1"/>
  <c r="L37" i="35"/>
  <c r="L38" i="35"/>
  <c r="L39" i="35"/>
  <c r="N39" i="35" s="1"/>
  <c r="L40" i="35"/>
  <c r="N40" i="35" s="1"/>
  <c r="L41" i="35"/>
  <c r="L42" i="35"/>
  <c r="P42" i="35" s="1"/>
  <c r="L43" i="35"/>
  <c r="P43" i="35" s="1"/>
  <c r="L44" i="35"/>
  <c r="L45" i="35"/>
  <c r="L46" i="35"/>
  <c r="P46" i="35" s="1"/>
  <c r="L47" i="35"/>
  <c r="P47" i="35" s="1"/>
  <c r="L48" i="35"/>
  <c r="P48" i="35" s="1"/>
  <c r="L49" i="35"/>
  <c r="P49" i="35" s="1"/>
  <c r="L50" i="35"/>
  <c r="P50" i="35" s="1"/>
  <c r="L55" i="35"/>
  <c r="P55" i="35" s="1"/>
  <c r="L56" i="35"/>
  <c r="P56" i="35" s="1"/>
  <c r="L57" i="35"/>
  <c r="P57" i="35" s="1"/>
  <c r="L58" i="35"/>
  <c r="P58" i="35" s="1"/>
  <c r="L59" i="35"/>
  <c r="N59" i="35" s="1"/>
  <c r="L60" i="35"/>
  <c r="P60" i="35" s="1"/>
  <c r="L61" i="35"/>
  <c r="L62" i="35"/>
  <c r="P62" i="35" s="1"/>
  <c r="L63" i="35"/>
  <c r="L64" i="35"/>
  <c r="L65" i="35"/>
  <c r="P65" i="35" s="1"/>
  <c r="L66" i="35"/>
  <c r="L67" i="35"/>
  <c r="L68" i="35"/>
  <c r="L69" i="35"/>
  <c r="P69" i="35" s="1"/>
  <c r="L70" i="35"/>
  <c r="P70" i="35" s="1"/>
  <c r="L71" i="35"/>
  <c r="L72" i="35"/>
  <c r="N72" i="35" s="1"/>
  <c r="L73" i="35"/>
  <c r="P73" i="35" s="1"/>
  <c r="L74" i="35"/>
  <c r="L75" i="35"/>
  <c r="P75" i="35" s="1"/>
  <c r="L76" i="35"/>
  <c r="P76" i="35" s="1"/>
  <c r="L77" i="35"/>
  <c r="P77" i="35" s="1"/>
  <c r="L78" i="35"/>
  <c r="P78" i="35" s="1"/>
  <c r="L79" i="35"/>
  <c r="P79" i="35" s="1"/>
  <c r="L80" i="35"/>
  <c r="L81" i="35"/>
  <c r="P81" i="35" s="1"/>
  <c r="L82" i="35"/>
  <c r="P82" i="35" s="1"/>
  <c r="L83" i="35"/>
  <c r="P83" i="35" s="1"/>
  <c r="L84" i="35"/>
  <c r="N84" i="35" s="1"/>
  <c r="L85" i="35"/>
  <c r="L86" i="35"/>
  <c r="P86" i="35" s="1"/>
  <c r="L87" i="35"/>
  <c r="L88" i="35"/>
  <c r="P88" i="35" s="1"/>
  <c r="L89" i="35"/>
  <c r="P89" i="35" s="1"/>
  <c r="L90" i="35"/>
  <c r="L91" i="35"/>
  <c r="L92" i="35"/>
  <c r="P92" i="35" s="1"/>
  <c r="L93" i="35"/>
  <c r="P93" i="35" s="1"/>
  <c r="L94" i="35"/>
  <c r="P94" i="35" s="1"/>
  <c r="L95" i="35"/>
  <c r="P95" i="35" s="1"/>
  <c r="L96" i="35"/>
  <c r="P96" i="35" s="1"/>
  <c r="L98" i="35"/>
  <c r="P98" i="35" s="1"/>
  <c r="L99" i="35"/>
  <c r="P99" i="35" s="1"/>
  <c r="L100" i="35"/>
  <c r="L101" i="35"/>
  <c r="P101" i="35" s="1"/>
  <c r="L102" i="35"/>
  <c r="L103" i="35"/>
  <c r="P103" i="35" s="1"/>
  <c r="L105" i="35"/>
  <c r="P105" i="35" s="1"/>
  <c r="L109" i="35"/>
  <c r="N109" i="35" s="1"/>
  <c r="L110" i="35"/>
  <c r="N110" i="35" s="1"/>
  <c r="L111" i="35"/>
  <c r="P111" i="35" s="1"/>
  <c r="L112" i="35"/>
  <c r="P112" i="35" s="1"/>
  <c r="L113" i="35"/>
  <c r="L114" i="35"/>
  <c r="P114" i="35" s="1"/>
  <c r="L115" i="35"/>
  <c r="P115" i="35" s="1"/>
  <c r="L116" i="35"/>
  <c r="L117" i="35"/>
  <c r="P117" i="35" s="1"/>
  <c r="L118" i="35"/>
  <c r="L119" i="35"/>
  <c r="P119" i="35" s="1"/>
  <c r="L120" i="35"/>
  <c r="P120" i="35" s="1"/>
  <c r="L121" i="35"/>
  <c r="P121" i="35" s="1"/>
  <c r="L122" i="35"/>
  <c r="P122" i="35" s="1"/>
  <c r="L123" i="35"/>
  <c r="N123" i="35" s="1"/>
  <c r="L124" i="35"/>
  <c r="L125" i="35"/>
  <c r="P125" i="35" s="1"/>
  <c r="L126" i="35"/>
  <c r="P126" i="35" s="1"/>
  <c r="L127" i="35"/>
  <c r="P127" i="35" s="1"/>
  <c r="L128" i="35"/>
  <c r="P128" i="35" s="1"/>
  <c r="L129" i="35"/>
  <c r="P129" i="35" s="1"/>
  <c r="L130" i="35"/>
  <c r="P130" i="35" s="1"/>
  <c r="L131" i="35"/>
  <c r="P131" i="35" s="1"/>
  <c r="L132" i="35"/>
  <c r="N132" i="35" s="1"/>
  <c r="L133" i="35"/>
  <c r="P133" i="35" s="1"/>
  <c r="L134" i="35"/>
  <c r="P134" i="35" s="1"/>
  <c r="L135" i="35"/>
  <c r="L136" i="35"/>
  <c r="P136" i="35" s="1"/>
  <c r="L137" i="35"/>
  <c r="P137" i="35" s="1"/>
  <c r="L138" i="35"/>
  <c r="N138" i="35" s="1"/>
  <c r="L139" i="35"/>
  <c r="P139" i="35" s="1"/>
  <c r="L140" i="35"/>
  <c r="P140" i="35" s="1"/>
  <c r="L141" i="35"/>
  <c r="L142" i="35"/>
  <c r="L143" i="35"/>
  <c r="P143" i="35" s="1"/>
  <c r="L144" i="35"/>
  <c r="L145" i="35"/>
  <c r="N145" i="35" s="1"/>
  <c r="L146" i="35"/>
  <c r="P146" i="35" s="1"/>
  <c r="L147" i="35"/>
  <c r="L148" i="35"/>
  <c r="N148" i="35" s="1"/>
  <c r="L149" i="35"/>
  <c r="N149" i="35" s="1"/>
  <c r="L150" i="35"/>
  <c r="P150" i="35" s="1"/>
  <c r="L151" i="35"/>
  <c r="P151" i="35" s="1"/>
  <c r="L152" i="35"/>
  <c r="L153" i="35"/>
  <c r="P153" i="35" s="1"/>
  <c r="L154" i="35"/>
  <c r="P154" i="35" s="1"/>
  <c r="L155" i="35"/>
  <c r="P155" i="35" s="1"/>
  <c r="L156" i="35"/>
  <c r="P156" i="35" s="1"/>
  <c r="L157" i="35"/>
  <c r="L158" i="35"/>
  <c r="P158" i="35" s="1"/>
  <c r="L159" i="35"/>
  <c r="N159" i="35" s="1"/>
  <c r="L160" i="35"/>
  <c r="P160" i="35" s="1"/>
  <c r="L161" i="35"/>
  <c r="P161" i="35" s="1"/>
  <c r="L162" i="35"/>
  <c r="P162" i="35" s="1"/>
  <c r="L163" i="35"/>
  <c r="P163" i="35" s="1"/>
  <c r="L164" i="35"/>
  <c r="P164" i="35" s="1"/>
  <c r="L165" i="35"/>
  <c r="P165" i="35" s="1"/>
  <c r="L166" i="35"/>
  <c r="N166" i="35" s="1"/>
  <c r="L167" i="35"/>
  <c r="N167" i="35" s="1"/>
  <c r="L168" i="35"/>
  <c r="N168" i="35" s="1"/>
  <c r="L169" i="35"/>
  <c r="L170" i="35"/>
  <c r="P170" i="35" s="1"/>
  <c r="L171" i="35"/>
  <c r="L172" i="35"/>
  <c r="P172" i="35" s="1"/>
  <c r="L173" i="35"/>
  <c r="P173" i="35" s="1"/>
  <c r="L174" i="35"/>
  <c r="P174" i="35" s="1"/>
  <c r="L175" i="35"/>
  <c r="L176" i="35"/>
  <c r="P176" i="35" s="1"/>
  <c r="L177" i="35"/>
  <c r="P177" i="35" s="1"/>
  <c r="L178" i="35"/>
  <c r="N178" i="35" s="1"/>
  <c r="L179" i="35"/>
  <c r="N179" i="35" s="1"/>
  <c r="L180" i="35"/>
  <c r="P180" i="35" s="1"/>
  <c r="L181" i="35"/>
  <c r="P181" i="35" s="1"/>
  <c r="L182" i="35"/>
  <c r="L183" i="35"/>
  <c r="P183" i="35" s="1"/>
  <c r="L184" i="35"/>
  <c r="P184" i="35" s="1"/>
  <c r="L185" i="35"/>
  <c r="P185" i="35" s="1"/>
  <c r="L186" i="35"/>
  <c r="N186" i="35" s="1"/>
  <c r="L187" i="35"/>
  <c r="N187" i="35" s="1"/>
  <c r="L188" i="35"/>
  <c r="L189" i="35"/>
  <c r="P189" i="35" s="1"/>
  <c r="L190" i="35"/>
  <c r="P190" i="35" s="1"/>
  <c r="L191" i="35"/>
  <c r="P191" i="35" s="1"/>
  <c r="L192" i="35"/>
  <c r="L193" i="35"/>
  <c r="P193" i="35" s="1"/>
  <c r="L194" i="35"/>
  <c r="N194" i="35" s="1"/>
  <c r="L195" i="35"/>
  <c r="N195" i="35" s="1"/>
  <c r="L196" i="35"/>
  <c r="P196" i="35" s="1"/>
  <c r="L197" i="35"/>
  <c r="L198" i="35"/>
  <c r="P198" i="35" s="1"/>
  <c r="L199" i="35"/>
  <c r="P199" i="35" s="1"/>
  <c r="L200" i="35"/>
  <c r="P200" i="35" s="1"/>
  <c r="L201" i="35"/>
  <c r="N201" i="35" s="1"/>
  <c r="L202" i="35"/>
  <c r="P202" i="35" s="1"/>
  <c r="L203" i="35"/>
  <c r="P203" i="35" s="1"/>
  <c r="L204" i="35"/>
  <c r="P204" i="35" s="1"/>
  <c r="L205" i="35"/>
  <c r="P205" i="35" s="1"/>
  <c r="L206" i="35"/>
  <c r="P206" i="35" s="1"/>
  <c r="L207" i="35"/>
  <c r="P207" i="35" s="1"/>
  <c r="L208" i="35"/>
  <c r="P208" i="35" s="1"/>
  <c r="L209" i="35"/>
  <c r="L210" i="35"/>
  <c r="N210" i="35" s="1"/>
  <c r="N17" i="35" l="1"/>
  <c r="N158" i="35"/>
  <c r="P149" i="35"/>
  <c r="P135" i="35"/>
  <c r="P159" i="35"/>
  <c r="P63" i="35"/>
  <c r="P138" i="35"/>
  <c r="P85" i="35"/>
  <c r="P18" i="35"/>
  <c r="N117" i="35"/>
  <c r="N129" i="35"/>
  <c r="N135" i="35"/>
  <c r="P210" i="35"/>
  <c r="N96" i="35"/>
  <c r="P80" i="35"/>
  <c r="P24" i="35"/>
  <c r="N174" i="35"/>
  <c r="P148" i="35"/>
  <c r="P59" i="35"/>
  <c r="N85" i="35"/>
  <c r="P67" i="35"/>
  <c r="P182" i="35"/>
  <c r="P44" i="35"/>
  <c r="N29" i="35"/>
  <c r="P171" i="35"/>
  <c r="P100" i="35"/>
  <c r="P90" i="35"/>
  <c r="P110" i="35"/>
  <c r="P169" i="35"/>
  <c r="P141" i="35"/>
  <c r="N81" i="35"/>
  <c r="P195" i="35"/>
  <c r="P132" i="35"/>
  <c r="P40" i="35"/>
  <c r="N198" i="35"/>
  <c r="N67" i="35"/>
  <c r="P167" i="35"/>
  <c r="N75" i="35"/>
  <c r="P118" i="35"/>
  <c r="P187" i="35"/>
  <c r="P39" i="35"/>
  <c r="P201" i="35"/>
  <c r="N68" i="35"/>
  <c r="P30" i="35"/>
  <c r="N183" i="35"/>
  <c r="N58" i="35"/>
  <c r="P179" i="35"/>
  <c r="P68" i="35"/>
  <c r="N156" i="35"/>
  <c r="N157" i="35"/>
  <c r="N147" i="35"/>
  <c r="P168" i="35"/>
  <c r="P178" i="35"/>
  <c r="N45" i="35"/>
  <c r="P192" i="35"/>
  <c r="P175" i="35"/>
  <c r="P124" i="35"/>
  <c r="N25" i="35"/>
  <c r="N93" i="35"/>
  <c r="P102" i="35"/>
  <c r="P91" i="35"/>
  <c r="P61" i="35"/>
  <c r="N76" i="35"/>
  <c r="P197" i="35"/>
  <c r="P123" i="35"/>
  <c r="P116" i="35"/>
  <c r="P113" i="35"/>
  <c r="P37" i="35"/>
  <c r="P35" i="35"/>
  <c r="P6" i="35"/>
  <c r="P72" i="35"/>
  <c r="P64" i="35"/>
  <c r="P71" i="35"/>
  <c r="P15" i="35"/>
  <c r="P188" i="35"/>
  <c r="P152" i="35"/>
  <c r="P145" i="35"/>
  <c r="P144" i="35"/>
  <c r="P142" i="35"/>
  <c r="P87" i="35"/>
  <c r="P45" i="35"/>
  <c r="P27" i="35"/>
  <c r="P13" i="35"/>
  <c r="P10" i="35"/>
  <c r="P41" i="35"/>
  <c r="N38" i="35"/>
  <c r="N209" i="35"/>
  <c r="N139" i="35"/>
  <c r="N74" i="35"/>
  <c r="N102" i="35"/>
  <c r="N86" i="35"/>
  <c r="N66" i="35"/>
  <c r="N18" i="35"/>
  <c r="N177" i="35"/>
  <c r="N131" i="35"/>
  <c r="N57" i="35"/>
  <c r="N16" i="35"/>
  <c r="N208" i="35"/>
  <c r="N200" i="35"/>
  <c r="N193" i="35"/>
  <c r="N185" i="35"/>
  <c r="N176" i="35"/>
  <c r="N137" i="35"/>
  <c r="N95" i="35"/>
  <c r="N83" i="35"/>
  <c r="N56" i="35"/>
  <c r="N47" i="35"/>
  <c r="N37" i="35"/>
  <c r="N27" i="35"/>
  <c r="N15" i="35"/>
  <c r="P209" i="35"/>
  <c r="P194" i="35"/>
  <c r="P186" i="35"/>
  <c r="P166" i="35"/>
  <c r="P157" i="35"/>
  <c r="P147" i="35"/>
  <c r="P109" i="35"/>
  <c r="P84" i="35"/>
  <c r="P74" i="35"/>
  <c r="P66" i="35"/>
  <c r="P38" i="35"/>
  <c r="P28" i="35"/>
  <c r="N207" i="35"/>
  <c r="N199" i="35"/>
  <c r="N192" i="35"/>
  <c r="N184" i="35"/>
  <c r="N175" i="35"/>
  <c r="N165" i="35"/>
  <c r="N146" i="35"/>
  <c r="N136" i="35"/>
  <c r="N130" i="35"/>
  <c r="N124" i="35"/>
  <c r="N116" i="35"/>
  <c r="N94" i="35"/>
  <c r="N82" i="35"/>
  <c r="N73" i="35"/>
  <c r="N65" i="35"/>
  <c r="N46" i="35"/>
  <c r="N36" i="35"/>
  <c r="N26" i="35"/>
  <c r="N14" i="35"/>
  <c r="N206" i="35"/>
  <c r="N191" i="35"/>
  <c r="N173" i="35"/>
  <c r="N155" i="35"/>
  <c r="N144" i="35"/>
  <c r="N128" i="35"/>
  <c r="N115" i="35"/>
  <c r="N92" i="35"/>
  <c r="N80" i="35"/>
  <c r="N64" i="35"/>
  <c r="N34" i="35"/>
  <c r="N24" i="35"/>
  <c r="N12" i="35"/>
  <c r="N205" i="35"/>
  <c r="N197" i="35"/>
  <c r="N182" i="35"/>
  <c r="N172" i="35"/>
  <c r="N164" i="35"/>
  <c r="N154" i="35"/>
  <c r="N143" i="35"/>
  <c r="N122" i="35"/>
  <c r="N114" i="35"/>
  <c r="N101" i="35"/>
  <c r="N91" i="35"/>
  <c r="N79" i="35"/>
  <c r="N71" i="35"/>
  <c r="N63" i="35"/>
  <c r="N44" i="35"/>
  <c r="N33" i="35"/>
  <c r="N23" i="35"/>
  <c r="N11" i="35"/>
  <c r="N204" i="35"/>
  <c r="N190" i="35"/>
  <c r="N181" i="35"/>
  <c r="N171" i="35"/>
  <c r="N163" i="35"/>
  <c r="N153" i="35"/>
  <c r="N134" i="35"/>
  <c r="N127" i="35"/>
  <c r="N121" i="35"/>
  <c r="N113" i="35"/>
  <c r="N100" i="35"/>
  <c r="N90" i="35"/>
  <c r="N55" i="35"/>
  <c r="N43" i="35"/>
  <c r="N32" i="35"/>
  <c r="N22" i="35"/>
  <c r="N10" i="35"/>
  <c r="N189" i="35"/>
  <c r="N170" i="35"/>
  <c r="N162" i="35"/>
  <c r="N152" i="35"/>
  <c r="N142" i="35"/>
  <c r="N120" i="35"/>
  <c r="N112" i="35"/>
  <c r="N105" i="35"/>
  <c r="N99" i="35"/>
  <c r="N89" i="35"/>
  <c r="N78" i="35"/>
  <c r="N70" i="35"/>
  <c r="N62" i="35"/>
  <c r="N50" i="35"/>
  <c r="N21" i="35"/>
  <c r="N9" i="35"/>
  <c r="N203" i="35"/>
  <c r="N196" i="35"/>
  <c r="N188" i="35"/>
  <c r="N169" i="35"/>
  <c r="N161" i="35"/>
  <c r="N151" i="35"/>
  <c r="N141" i="35"/>
  <c r="N133" i="35"/>
  <c r="N126" i="35"/>
  <c r="N119" i="35"/>
  <c r="N111" i="35"/>
  <c r="N103" i="35"/>
  <c r="N98" i="35"/>
  <c r="N88" i="35"/>
  <c r="N69" i="35"/>
  <c r="N61" i="35"/>
  <c r="N49" i="35"/>
  <c r="N42" i="35"/>
  <c r="N31" i="35"/>
  <c r="N20" i="35"/>
  <c r="N8" i="35"/>
  <c r="N202" i="35"/>
  <c r="N180" i="35"/>
  <c r="N160" i="35"/>
  <c r="N150" i="35"/>
  <c r="N140" i="35"/>
  <c r="N125" i="35"/>
  <c r="N118" i="35"/>
  <c r="N87" i="35"/>
  <c r="N77" i="35"/>
  <c r="N60" i="35"/>
  <c r="N48" i="35"/>
  <c r="N41" i="35"/>
  <c r="N19" i="35"/>
  <c r="N7" i="35"/>
  <c r="H210" i="35" l="1"/>
  <c r="H209" i="35"/>
  <c r="H208" i="35"/>
  <c r="J208" i="35" s="1"/>
  <c r="K208" i="35" s="1"/>
  <c r="H207" i="35"/>
  <c r="J207" i="35" s="1"/>
  <c r="K207" i="35" s="1"/>
  <c r="H206" i="35"/>
  <c r="H205" i="35"/>
  <c r="J205" i="35" s="1"/>
  <c r="K205" i="35" s="1"/>
  <c r="H204" i="35"/>
  <c r="J204" i="35" s="1"/>
  <c r="K204" i="35" s="1"/>
  <c r="H203" i="35"/>
  <c r="H202" i="35"/>
  <c r="J202" i="35" s="1"/>
  <c r="K202" i="35" s="1"/>
  <c r="H201" i="35"/>
  <c r="J201" i="35" s="1"/>
  <c r="K201" i="35" s="1"/>
  <c r="H200" i="35"/>
  <c r="J200" i="35" s="1"/>
  <c r="K200" i="35" s="1"/>
  <c r="H199" i="35"/>
  <c r="J199" i="35" s="1"/>
  <c r="K199" i="35" s="1"/>
  <c r="H198" i="35"/>
  <c r="H197" i="35"/>
  <c r="J197" i="35" s="1"/>
  <c r="K197" i="35" s="1"/>
  <c r="H196" i="35"/>
  <c r="H195" i="35"/>
  <c r="H194" i="35"/>
  <c r="H193" i="35"/>
  <c r="J193" i="35" s="1"/>
  <c r="K193" i="35" s="1"/>
  <c r="H192" i="35"/>
  <c r="J192" i="35" s="1"/>
  <c r="K192" i="35" s="1"/>
  <c r="H191" i="35"/>
  <c r="H190" i="35"/>
  <c r="J190" i="35" s="1"/>
  <c r="K190" i="35" s="1"/>
  <c r="H189" i="35"/>
  <c r="H188" i="35"/>
  <c r="H187" i="35"/>
  <c r="J187" i="35" s="1"/>
  <c r="K187" i="35" s="1"/>
  <c r="H186" i="35"/>
  <c r="H185" i="35"/>
  <c r="J185" i="35" s="1"/>
  <c r="K185" i="35" s="1"/>
  <c r="H184" i="35"/>
  <c r="J184" i="35" s="1"/>
  <c r="K184" i="35" s="1"/>
  <c r="H183" i="35"/>
  <c r="H182" i="35"/>
  <c r="J182" i="35" s="1"/>
  <c r="K182" i="35" s="1"/>
  <c r="H181" i="35"/>
  <c r="J181" i="35" s="1"/>
  <c r="K181" i="35" s="1"/>
  <c r="H180" i="35"/>
  <c r="J180" i="35" s="1"/>
  <c r="K180" i="35" s="1"/>
  <c r="H179" i="35"/>
  <c r="J179" i="35" s="1"/>
  <c r="K179" i="35" s="1"/>
  <c r="H178" i="35"/>
  <c r="H177" i="35"/>
  <c r="H176" i="35"/>
  <c r="J176" i="35" s="1"/>
  <c r="K176" i="35" s="1"/>
  <c r="H175" i="35"/>
  <c r="J175" i="35" s="1"/>
  <c r="K175" i="35" s="1"/>
  <c r="H174" i="35"/>
  <c r="H173" i="35"/>
  <c r="H172" i="35"/>
  <c r="J172" i="35" s="1"/>
  <c r="K172" i="35" s="1"/>
  <c r="H171" i="35"/>
  <c r="J171" i="35" s="1"/>
  <c r="K171" i="35" s="1"/>
  <c r="H170" i="35"/>
  <c r="H169" i="35"/>
  <c r="H168" i="35"/>
  <c r="J168" i="35" s="1"/>
  <c r="K168" i="35" s="1"/>
  <c r="H167" i="35"/>
  <c r="H166" i="35"/>
  <c r="H165" i="35"/>
  <c r="J165" i="35" s="1"/>
  <c r="K165" i="35" s="1"/>
  <c r="H164" i="35"/>
  <c r="J164" i="35" s="1"/>
  <c r="K164" i="35" s="1"/>
  <c r="H163" i="35"/>
  <c r="J163" i="35" s="1"/>
  <c r="K163" i="35" s="1"/>
  <c r="H162" i="35"/>
  <c r="H161" i="35"/>
  <c r="H160" i="35"/>
  <c r="J160" i="35" s="1"/>
  <c r="K160" i="35" s="1"/>
  <c r="H159" i="35"/>
  <c r="J159" i="35" s="1"/>
  <c r="K159" i="35" s="1"/>
  <c r="H158" i="35"/>
  <c r="H157" i="35"/>
  <c r="H156" i="35"/>
  <c r="H155" i="35"/>
  <c r="H154" i="35"/>
  <c r="J154" i="35" s="1"/>
  <c r="K154" i="35" s="1"/>
  <c r="H153" i="35"/>
  <c r="J153" i="35" s="1"/>
  <c r="K153" i="35" s="1"/>
  <c r="H152" i="35"/>
  <c r="H151" i="35"/>
  <c r="H150" i="35"/>
  <c r="J150" i="35" s="1"/>
  <c r="K150" i="35" s="1"/>
  <c r="H149" i="35"/>
  <c r="J149" i="35" s="1"/>
  <c r="K149" i="35" s="1"/>
  <c r="H148" i="35"/>
  <c r="H147" i="35"/>
  <c r="H146" i="35"/>
  <c r="J146" i="35" s="1"/>
  <c r="K146" i="35" s="1"/>
  <c r="H145" i="35"/>
  <c r="H144" i="35"/>
  <c r="H143" i="35"/>
  <c r="J143" i="35" s="1"/>
  <c r="K143" i="35" s="1"/>
  <c r="H142" i="35"/>
  <c r="H141" i="35"/>
  <c r="H140" i="35"/>
  <c r="J140" i="35" s="1"/>
  <c r="K140" i="35" s="1"/>
  <c r="H139" i="35"/>
  <c r="J139" i="35" s="1"/>
  <c r="K139" i="35" s="1"/>
  <c r="H138" i="35"/>
  <c r="H137" i="35"/>
  <c r="J137" i="35" s="1"/>
  <c r="K137" i="35" s="1"/>
  <c r="H136" i="35"/>
  <c r="J136" i="35" s="1"/>
  <c r="K136" i="35" s="1"/>
  <c r="H135" i="35"/>
  <c r="H134" i="35"/>
  <c r="J134" i="35" s="1"/>
  <c r="K134" i="35" s="1"/>
  <c r="H133" i="35"/>
  <c r="H132" i="35"/>
  <c r="H131" i="35"/>
  <c r="H130" i="35"/>
  <c r="J130" i="35" s="1"/>
  <c r="K130" i="35" s="1"/>
  <c r="H129" i="35"/>
  <c r="H128" i="35"/>
  <c r="H127" i="35"/>
  <c r="J127" i="35" s="1"/>
  <c r="K127" i="35" s="1"/>
  <c r="H126" i="35"/>
  <c r="H125" i="35"/>
  <c r="J125" i="35" s="1"/>
  <c r="K125" i="35" s="1"/>
  <c r="H124" i="35"/>
  <c r="J124" i="35" s="1"/>
  <c r="K124" i="35" s="1"/>
  <c r="H123" i="35"/>
  <c r="H122" i="35"/>
  <c r="J122" i="35" s="1"/>
  <c r="K122" i="35" s="1"/>
  <c r="H121" i="35"/>
  <c r="J121" i="35" s="1"/>
  <c r="K121" i="35" s="1"/>
  <c r="H120" i="35"/>
  <c r="H119" i="35"/>
  <c r="H118" i="35"/>
  <c r="J118" i="35" s="1"/>
  <c r="K118" i="35" s="1"/>
  <c r="H117" i="35"/>
  <c r="H116" i="35"/>
  <c r="J116" i="35" s="1"/>
  <c r="K116" i="35" s="1"/>
  <c r="H115" i="35"/>
  <c r="H114" i="35"/>
  <c r="J114" i="35" s="1"/>
  <c r="K114" i="35" s="1"/>
  <c r="H113" i="35"/>
  <c r="J113" i="35" s="1"/>
  <c r="K113" i="35" s="1"/>
  <c r="H112" i="35"/>
  <c r="H111" i="35"/>
  <c r="H110" i="35"/>
  <c r="J110" i="35" s="1"/>
  <c r="K110" i="35" s="1"/>
  <c r="H109" i="35"/>
  <c r="H105" i="35"/>
  <c r="H103" i="35"/>
  <c r="H102" i="35"/>
  <c r="J102" i="35" s="1"/>
  <c r="K102" i="35" s="1"/>
  <c r="H101" i="35"/>
  <c r="J101" i="35" s="1"/>
  <c r="K101" i="35" s="1"/>
  <c r="H100" i="35"/>
  <c r="J100" i="35" s="1"/>
  <c r="K100" i="35" s="1"/>
  <c r="H99" i="35"/>
  <c r="H98" i="35"/>
  <c r="H96" i="35"/>
  <c r="H95" i="35"/>
  <c r="J95" i="35" s="1"/>
  <c r="K95" i="35" s="1"/>
  <c r="H94" i="35"/>
  <c r="J94" i="35" s="1"/>
  <c r="K94" i="35" s="1"/>
  <c r="H93" i="35"/>
  <c r="H92" i="35"/>
  <c r="H91" i="35"/>
  <c r="J91" i="35" s="1"/>
  <c r="K91" i="35" s="1"/>
  <c r="H90" i="35"/>
  <c r="J90" i="35" s="1"/>
  <c r="K90" i="35" s="1"/>
  <c r="H89" i="35"/>
  <c r="J89" i="35" s="1"/>
  <c r="K89" i="35" s="1"/>
  <c r="H88" i="35"/>
  <c r="H87" i="35"/>
  <c r="J87" i="35" s="1"/>
  <c r="K87" i="35" s="1"/>
  <c r="H86" i="35"/>
  <c r="J86" i="35" s="1"/>
  <c r="K86" i="35" s="1"/>
  <c r="H85" i="35"/>
  <c r="J85" i="35" s="1"/>
  <c r="H84" i="35"/>
  <c r="H83" i="35"/>
  <c r="J83" i="35" s="1"/>
  <c r="K83" i="35" s="1"/>
  <c r="H82" i="35"/>
  <c r="J82" i="35" s="1"/>
  <c r="K82" i="35" s="1"/>
  <c r="H81" i="35"/>
  <c r="J81" i="35" s="1"/>
  <c r="H80" i="35"/>
  <c r="H79" i="35"/>
  <c r="J79" i="35" s="1"/>
  <c r="K79" i="35" s="1"/>
  <c r="H78" i="35"/>
  <c r="J78" i="35" s="1"/>
  <c r="H77" i="35"/>
  <c r="J77" i="35" s="1"/>
  <c r="K77" i="35" s="1"/>
  <c r="H76" i="35"/>
  <c r="J76" i="35" s="1"/>
  <c r="K76" i="35" s="1"/>
  <c r="H75" i="35"/>
  <c r="J75" i="35" s="1"/>
  <c r="H74" i="35"/>
  <c r="H73" i="35"/>
  <c r="J73" i="35" s="1"/>
  <c r="K73" i="35" s="1"/>
  <c r="H72" i="35"/>
  <c r="J72" i="35" s="1"/>
  <c r="K72" i="35" s="1"/>
  <c r="H71" i="35"/>
  <c r="J71" i="35" s="1"/>
  <c r="K71" i="35" s="1"/>
  <c r="H70" i="35"/>
  <c r="J70" i="35" s="1"/>
  <c r="H69" i="35"/>
  <c r="H68" i="35"/>
  <c r="J68" i="35" s="1"/>
  <c r="K68" i="35" s="1"/>
  <c r="H67" i="35"/>
  <c r="J67" i="35" s="1"/>
  <c r="H66" i="35"/>
  <c r="H65" i="35"/>
  <c r="J65" i="35" s="1"/>
  <c r="K65" i="35" s="1"/>
  <c r="H64" i="35"/>
  <c r="H63" i="35"/>
  <c r="H62" i="35"/>
  <c r="J62" i="35" s="1"/>
  <c r="H61" i="35"/>
  <c r="H60" i="35"/>
  <c r="J60" i="35" s="1"/>
  <c r="K60" i="35" s="1"/>
  <c r="H59" i="35"/>
  <c r="J59" i="35" s="1"/>
  <c r="K59" i="35" s="1"/>
  <c r="H58" i="35"/>
  <c r="J58" i="35" s="1"/>
  <c r="H57" i="35"/>
  <c r="H56" i="35"/>
  <c r="J56" i="35" s="1"/>
  <c r="K56" i="35" s="1"/>
  <c r="H55" i="35"/>
  <c r="J55" i="35" s="1"/>
  <c r="K55" i="35" s="1"/>
  <c r="H50" i="35"/>
  <c r="J50" i="35" s="1"/>
  <c r="H49" i="35"/>
  <c r="H48" i="35"/>
  <c r="J48" i="35" s="1"/>
  <c r="K48" i="35" s="1"/>
  <c r="H47" i="35"/>
  <c r="J47" i="35" s="1"/>
  <c r="K47" i="35" s="1"/>
  <c r="H46" i="35"/>
  <c r="J46" i="35" s="1"/>
  <c r="K46" i="35" s="1"/>
  <c r="H45" i="35"/>
  <c r="J45" i="35" s="1"/>
  <c r="H44" i="35"/>
  <c r="H43" i="35"/>
  <c r="J43" i="35" s="1"/>
  <c r="K43" i="35" s="1"/>
  <c r="H42" i="35"/>
  <c r="H41" i="35"/>
  <c r="J41" i="35" s="1"/>
  <c r="K41" i="35" s="1"/>
  <c r="H40" i="35"/>
  <c r="J40" i="35" s="1"/>
  <c r="K40" i="35" s="1"/>
  <c r="H39" i="35"/>
  <c r="J39" i="35" s="1"/>
  <c r="H38" i="35"/>
  <c r="H37" i="35"/>
  <c r="J37" i="35" s="1"/>
  <c r="K37" i="35" s="1"/>
  <c r="H36" i="35"/>
  <c r="J36" i="35" s="1"/>
  <c r="K36" i="35" s="1"/>
  <c r="H35" i="35"/>
  <c r="J35" i="35" s="1"/>
  <c r="H34" i="35"/>
  <c r="H33" i="35"/>
  <c r="J33" i="35" s="1"/>
  <c r="K33" i="35" s="1"/>
  <c r="H32" i="35"/>
  <c r="J32" i="35" s="1"/>
  <c r="K32" i="35" s="1"/>
  <c r="H31" i="35"/>
  <c r="H30" i="35"/>
  <c r="J30" i="35" s="1"/>
  <c r="K30" i="35" s="1"/>
  <c r="H29" i="35"/>
  <c r="J29" i="35" s="1"/>
  <c r="H28" i="35"/>
  <c r="H27" i="35"/>
  <c r="J27" i="35" s="1"/>
  <c r="K27" i="35" s="1"/>
  <c r="H26" i="35"/>
  <c r="J26" i="35" s="1"/>
  <c r="K26" i="35" s="1"/>
  <c r="H25" i="35"/>
  <c r="J25" i="35" s="1"/>
  <c r="H24" i="35"/>
  <c r="H23" i="35"/>
  <c r="J23" i="35" s="1"/>
  <c r="K23" i="35" s="1"/>
  <c r="H22" i="35"/>
  <c r="J22" i="35" s="1"/>
  <c r="K22" i="35" s="1"/>
  <c r="H21" i="35"/>
  <c r="J21" i="35" s="1"/>
  <c r="H20" i="35"/>
  <c r="H19" i="35"/>
  <c r="J19" i="35" s="1"/>
  <c r="K19" i="35" s="1"/>
  <c r="H18" i="35"/>
  <c r="J18" i="35" s="1"/>
  <c r="K18" i="35" s="1"/>
  <c r="H17" i="35"/>
  <c r="J17" i="35" s="1"/>
  <c r="H16" i="35"/>
  <c r="H15" i="35"/>
  <c r="J15" i="35" s="1"/>
  <c r="K15" i="35" s="1"/>
  <c r="H14" i="35"/>
  <c r="J14" i="35" s="1"/>
  <c r="K14" i="35" s="1"/>
  <c r="H13" i="35"/>
  <c r="J13" i="35" s="1"/>
  <c r="H12" i="35"/>
  <c r="H11" i="35"/>
  <c r="J11" i="35" s="1"/>
  <c r="K11" i="35" s="1"/>
  <c r="H10" i="35"/>
  <c r="J10" i="35" s="1"/>
  <c r="K10" i="35" s="1"/>
  <c r="H9" i="35"/>
  <c r="J9" i="35" s="1"/>
  <c r="H8" i="35"/>
  <c r="H7" i="35"/>
  <c r="J7" i="35" s="1"/>
  <c r="K7" i="35" s="1"/>
  <c r="J63" i="35" l="1"/>
  <c r="K63" i="35" s="1"/>
  <c r="K50" i="35"/>
  <c r="J44" i="35"/>
  <c r="K44" i="35" s="1"/>
  <c r="K35" i="35"/>
  <c r="K13" i="35"/>
  <c r="K9" i="35"/>
  <c r="J84" i="35"/>
  <c r="K84" i="35" s="1"/>
  <c r="J31" i="35"/>
  <c r="K31" i="35" s="1"/>
  <c r="J69" i="35"/>
  <c r="K69" i="35" s="1"/>
  <c r="J155" i="35"/>
  <c r="K155" i="35" s="1"/>
  <c r="J191" i="35"/>
  <c r="K191" i="35" s="1"/>
  <c r="J12" i="35"/>
  <c r="K12" i="35" s="1"/>
  <c r="K85" i="35"/>
  <c r="J92" i="35"/>
  <c r="K92" i="35" s="1"/>
  <c r="J98" i="35"/>
  <c r="K98" i="35" s="1"/>
  <c r="J111" i="35"/>
  <c r="K111" i="35" s="1"/>
  <c r="J156" i="35"/>
  <c r="K156" i="35" s="1"/>
  <c r="J169" i="35"/>
  <c r="K169" i="35" s="1"/>
  <c r="J203" i="35"/>
  <c r="K203" i="35" s="1"/>
  <c r="J38" i="35"/>
  <c r="K38" i="35" s="1"/>
  <c r="K70" i="35"/>
  <c r="J74" i="35"/>
  <c r="K74" i="35" s="1"/>
  <c r="J93" i="35"/>
  <c r="K93" i="35" s="1"/>
  <c r="J99" i="35"/>
  <c r="K99" i="35" s="1"/>
  <c r="J112" i="35"/>
  <c r="K112" i="35" s="1"/>
  <c r="J117" i="35"/>
  <c r="K117" i="35" s="1"/>
  <c r="J123" i="35"/>
  <c r="K123" i="35" s="1"/>
  <c r="J126" i="35"/>
  <c r="K126" i="35" s="1"/>
  <c r="J131" i="35"/>
  <c r="K131" i="35" s="1"/>
  <c r="J141" i="35"/>
  <c r="K141" i="35" s="1"/>
  <c r="J147" i="35"/>
  <c r="K147" i="35" s="1"/>
  <c r="J186" i="35"/>
  <c r="K186" i="35" s="1"/>
  <c r="J61" i="35"/>
  <c r="K61" i="35" s="1"/>
  <c r="J132" i="35"/>
  <c r="K132" i="35" s="1"/>
  <c r="K39" i="35"/>
  <c r="K75" i="35"/>
  <c r="J80" i="35"/>
  <c r="K80" i="35" s="1"/>
  <c r="J66" i="35"/>
  <c r="K66" i="35" s="1"/>
  <c r="J194" i="35"/>
  <c r="K194" i="35" s="1"/>
  <c r="J8" i="35"/>
  <c r="K8" i="35" s="1"/>
  <c r="J28" i="35"/>
  <c r="K28" i="35" s="1"/>
  <c r="K62" i="35"/>
  <c r="J157" i="35"/>
  <c r="K157" i="35" s="1"/>
  <c r="K45" i="35"/>
  <c r="J49" i="35"/>
  <c r="K49" i="35" s="1"/>
  <c r="K81" i="35"/>
  <c r="J88" i="35"/>
  <c r="K88" i="35" s="1"/>
  <c r="J158" i="35"/>
  <c r="K158" i="35" s="1"/>
  <c r="J173" i="35"/>
  <c r="K173" i="35" s="1"/>
  <c r="J206" i="35"/>
  <c r="K206" i="35" s="1"/>
  <c r="K29" i="35"/>
  <c r="J34" i="35"/>
  <c r="K34" i="35" s="1"/>
  <c r="K67" i="35"/>
  <c r="J103" i="35"/>
  <c r="K103" i="35" s="1"/>
  <c r="J109" i="35"/>
  <c r="K109" i="35" s="1"/>
  <c r="J115" i="35"/>
  <c r="K115" i="35" s="1"/>
  <c r="J119" i="35"/>
  <c r="K119" i="35" s="1"/>
  <c r="J151" i="35"/>
  <c r="K151" i="35" s="1"/>
  <c r="J188" i="35"/>
  <c r="K188" i="35" s="1"/>
  <c r="K21" i="35"/>
  <c r="J16" i="35"/>
  <c r="K16" i="35" s="1"/>
  <c r="J57" i="35"/>
  <c r="K57" i="35" s="1"/>
  <c r="J96" i="35"/>
  <c r="K96" i="35" s="1"/>
  <c r="J105" i="35"/>
  <c r="K105" i="35" s="1"/>
  <c r="J120" i="35"/>
  <c r="K120" i="35" s="1"/>
  <c r="J128" i="35"/>
  <c r="K128" i="35" s="1"/>
  <c r="J133" i="35"/>
  <c r="K133" i="35" s="1"/>
  <c r="J144" i="35"/>
  <c r="K144" i="35" s="1"/>
  <c r="J152" i="35"/>
  <c r="K152" i="35" s="1"/>
  <c r="J166" i="35"/>
  <c r="K166" i="35" s="1"/>
  <c r="J142" i="35"/>
  <c r="K142" i="35" s="1"/>
  <c r="J42" i="35"/>
  <c r="K42" i="35" s="1"/>
  <c r="J129" i="35"/>
  <c r="K129" i="35" s="1"/>
  <c r="J138" i="35"/>
  <c r="K138" i="35" s="1"/>
  <c r="J145" i="35"/>
  <c r="K145" i="35" s="1"/>
  <c r="J20" i="35"/>
  <c r="K20" i="35" s="1"/>
  <c r="J135" i="35"/>
  <c r="K135" i="35" s="1"/>
  <c r="K17" i="35"/>
  <c r="J24" i="35"/>
  <c r="K24" i="35" s="1"/>
  <c r="K58" i="35"/>
  <c r="J64" i="35"/>
  <c r="K64" i="35" s="1"/>
  <c r="J161" i="35"/>
  <c r="K161" i="35" s="1"/>
  <c r="J196" i="35"/>
  <c r="K196" i="35" s="1"/>
  <c r="J148" i="35"/>
  <c r="K148" i="35" s="1"/>
  <c r="K78" i="35"/>
  <c r="J162" i="35"/>
  <c r="K162" i="35" s="1"/>
  <c r="J177" i="35"/>
  <c r="K177" i="35" s="1"/>
  <c r="J209" i="35"/>
  <c r="K209" i="35" s="1"/>
  <c r="K25" i="35"/>
  <c r="J167" i="35"/>
  <c r="K167" i="35" s="1"/>
  <c r="J170" i="35"/>
  <c r="K170" i="35" s="1"/>
  <c r="J174" i="35"/>
  <c r="K174" i="35" s="1"/>
  <c r="J178" i="35"/>
  <c r="K178" i="35" s="1"/>
  <c r="J183" i="35"/>
  <c r="K183" i="35" s="1"/>
  <c r="J189" i="35"/>
  <c r="K189" i="35" s="1"/>
  <c r="J195" i="35"/>
  <c r="K195" i="35" s="1"/>
  <c r="J198" i="35"/>
  <c r="K198" i="35" s="1"/>
  <c r="J210" i="35"/>
  <c r="K210" i="35" s="1"/>
  <c r="J6" i="35"/>
  <c r="H213" i="35" l="1"/>
  <c r="K6" i="35"/>
  <c r="N214" i="35" s="1"/>
  <c r="K213" i="35" l="1"/>
  <c r="N212" i="35" s="1"/>
  <c r="J213" i="35"/>
</calcChain>
</file>

<file path=xl/sharedStrings.xml><?xml version="1.0" encoding="utf-8"?>
<sst xmlns="http://schemas.openxmlformats.org/spreadsheetml/2006/main" count="440" uniqueCount="239">
  <si>
    <t>Lp.</t>
  </si>
  <si>
    <t>szt.</t>
  </si>
  <si>
    <t>op.</t>
  </si>
  <si>
    <t>Oferowany produkt</t>
  </si>
  <si>
    <t>rolka</t>
  </si>
  <si>
    <t>Opis materiału</t>
  </si>
  <si>
    <t>Jedn. miary</t>
  </si>
  <si>
    <t>Ilość</t>
  </si>
  <si>
    <t>Cena jedn. netto [zł]</t>
  </si>
  <si>
    <t>VAT          [%]</t>
  </si>
  <si>
    <t xml:space="preserve">Nazwa producenta </t>
  </si>
  <si>
    <t>Symbol produktu (numer katalogowy lub inne oznaczenie pozwalające na identyfikację produktu)</t>
  </si>
  <si>
    <t xml:space="preserve">Akumulatory AAA o pojemności min. 800 mA/h; (4 szt./opak.) </t>
  </si>
  <si>
    <t xml:space="preserve">Baterie 3LR12 (płaska), napięcie 4,5 V, (1 szt./opak.) </t>
  </si>
  <si>
    <t xml:space="preserve">Baterie 6LR61/9V, napięcie 9 V, (1 szt./opak.) </t>
  </si>
  <si>
    <t xml:space="preserve">Baterie alkaliczne LR03/AAA, napięcie 1,5 V, (4 szt./opak.) </t>
  </si>
  <si>
    <t xml:space="preserve">Baterie alkaliczne LR14/C, napięcie 1,5 V, (2 szt./opak.) </t>
  </si>
  <si>
    <t xml:space="preserve">Baterie alkaliczne LR20/D, napięcie 1,5 V, (2 szt./opak.) </t>
  </si>
  <si>
    <t xml:space="preserve">Baterie alkaliczne LR6/AA, napięcie 1,5 V, (4 szt./opak.) </t>
  </si>
  <si>
    <t xml:space="preserve">Baterie specjalistyczne CR2025 (płaska), napięcie 3 V, (1 szt./opak.) </t>
  </si>
  <si>
    <t xml:space="preserve">Baterie specjalistyczne CR2032 (płaska), napięcie 3 V, (1 szt./opak.) </t>
  </si>
  <si>
    <t xml:space="preserve">Baterie specjalistyczne L1154 (płaska LR44, A76), napięcie 1,5 V, (1 szt./opak.) </t>
  </si>
  <si>
    <t>bloczek</t>
  </si>
  <si>
    <t>Blok A4 w kratkę, 80-kartkowy, z mikroperforacją, z dziurkami umożliwiającymi wpięcie do segregatora, papier o gramaturze 80-90 g/m2,  z bigowaną okładką wykonaną z laminowanego kartonu, z podwójną podkładką</t>
  </si>
  <si>
    <t>Blok A5 w kratkę, 80-kartkowy, kartki z mikroperforacją, z bigowaną okładką pokrytą wodoodpornym laminatem, papier o gramaturze 80-90 g/m2</t>
  </si>
  <si>
    <t>Blok biurowy A4 w kratkę, 100-kartkowy, klejony po krótszym boku, okładka z kartonu</t>
  </si>
  <si>
    <t>Blok biurowy A5 w kratkę, 100-kartkowy, klejony po krótszym boku, okładka z kartonu</t>
  </si>
  <si>
    <t>Blok biurowy A6 w kratkę, 100-kartkowy, klejony po krótszym boku, okładka z kartonu</t>
  </si>
  <si>
    <t>Blok milimetrowy A3, 15 - 20 kartkowy</t>
  </si>
  <si>
    <t>Blok milimetrowy A4, 20 - 25 kartkowy</t>
  </si>
  <si>
    <t>Blok papierowy do flipchartu, w kratkę, 30-kartkowy, wym: 58 x 83 cm+/- 1cm</t>
  </si>
  <si>
    <t>Blok rysunkowy A4, papier wysokiej jakości, liczba kartek: min. 20</t>
  </si>
  <si>
    <t>Brulion A4 w kratkę, 96-kartkowy w twardej oprawie</t>
  </si>
  <si>
    <t>Brulion A5 w kratkę, 96-kartkowy w twardej oprawie</t>
  </si>
  <si>
    <t>Chusteczki wilgotne antystatyczne do czyszczenia monitorów LCD, laptopów, (100-120 szt./opak.)</t>
  </si>
  <si>
    <t>Długopis, połączony metalowym łańcuszkiem z samoprzylepną podstawką w kształcie kulki, utrzymującą długopis w pozycji pionowej, podstawka ma możliwość obrotu, kolor wkładu: niebieski</t>
  </si>
  <si>
    <t xml:space="preserve">Druk karta drogowa SM 101, format A5, 80-kartkowy, druk dwustronny, papier offsetowy </t>
  </si>
  <si>
    <t xml:space="preserve">Druk karta drogowa SM 102, format A4, 80-kartkowy, druk dwustronny, papier offsetowy </t>
  </si>
  <si>
    <t>Folia laminacyjna błyszcząca, krystalicznie przejrzysta, grubość folii: 100-120 mic., wymiary: A4 216 x 303 mm, (100 ark./opak.)</t>
  </si>
  <si>
    <t>Folia laminacyjna błyszcząca, krystalicznie przejrzysta, grubość folii: 100-120 mic., wymiary: A3 303 x 426 mm, (100 ark./opak.)</t>
  </si>
  <si>
    <t>Folia samoprzylepna kolorowa 100 x 70 cm +/- 1cm</t>
  </si>
  <si>
    <t>Grzbiety wsuwane A4, pojemność: do 30 kartek, z zaokrąglonymi krawędziami, różne kolory, 1 szt.</t>
  </si>
  <si>
    <t>Grzbiety wsuwane A4, pojemność: do 50-60 kartek, z zaokrąglonymi krawędziami, różne kolory, 1 szt.</t>
  </si>
  <si>
    <t>Kalka ołówkowa powlekana woskiem, format A4, przeznaczona do wielokrotnego użytku, (10 ark./opak.)</t>
  </si>
  <si>
    <t>Klej w sztyfcie, bezbarwny, bezwonny, nieprzesiąkający przez materiały, umożliwiający punktowe nakładanie kleju, do materiałów typu: papier, tektura, zdjęcia, opakowanie: 15 g +/- 5 g</t>
  </si>
  <si>
    <t>Klej w taśmie niepermanentny (umożliwiający wielokrotne przyklejanie i odklejanie), szerokość taśmy: 8,4 mm+/- 4mm, długość taśmy: 8,5 m +/- 0,5 m</t>
  </si>
  <si>
    <t>Klipsy do papieru, wykonane z metalu, o wymiarach: 19 mm (12 szt./opak.)</t>
  </si>
  <si>
    <t>Klipsy do papieru, wykonane z metalu, o wymiarach: 32 mm (12 szt./opak.)</t>
  </si>
  <si>
    <t>Klipsy do papieru, wykonane z metalu, o wymiarach: 51 mm (12 szt./opak.)</t>
  </si>
  <si>
    <t>Kołonotatnik A4 w kratkę, 100-120-kartkowy, twarda okładka laminowana, z możliwością lub bez wpinania do segregatora</t>
  </si>
  <si>
    <t>Kołonotatnik A5 w kratkę, 100-kartkowy, twarda okładka laminowana, bez wpinania do segregatora</t>
  </si>
  <si>
    <t>Koperta B5, biała HK samoprzylepna z paskiem, gramatura
90-120 g/m2, wymiary: 176 x 250 mm</t>
  </si>
  <si>
    <t>Koperta C3, biała HK samoprzylepna z paskiem, gramatura
90-150 g/m2, wymiary: 324 x 458 mm</t>
  </si>
  <si>
    <t>Koperta C4 biała HK wymiary: 229 x 324 mm, samoprzylepna z paskiem, gramatura 90-150g/m2, ciemny poddruk (10 szt. w opak.)</t>
  </si>
  <si>
    <t>Koperta C5 biała HK, samoprzylepna z paskiem, gramatura 80 - 120 g/m2, wymiary: 162 x 229 mm (10 szt./opak.)</t>
  </si>
  <si>
    <t>Koperta C6 biała HK, samoprzylepna z paskiem, gramatura 100 - 120 g/m2, wymiary: 114 x 162 mm (10 szt./opak.)</t>
  </si>
  <si>
    <t>Koperta E4, biała HK samoprzylepna z paskiem, gramatura 90-150 g/m2, wymiary: 280 x 400 mm (10 szt./opak.)</t>
  </si>
  <si>
    <t>Koperta ochronna z warstwą folii bąbelkowej wewnątrz, do transportu przesyłek, samoklejąca z paskiem, format G/17, wymiary wewn. 230 x 340 mm +/-5 mm, wymiary zewn. 250 x 350 mm +/-5 mm, (10 szt./opak.)</t>
  </si>
  <si>
    <t>Koperta ochronna z warstwą folii bąbelkowej wewnątrz, do transportu przesyłek, samoklejąca z paskiem, format H/18, wymiary wewn. 270 x 360 mm +/- 5 mm, wymiary zewn. 290 x 370 mm +/- 5 mm, (10 szt./opak.)</t>
  </si>
  <si>
    <t>Koperta ochronna z warstwą folii bąbelkowej wewnątrz, przeznaczona do transportu przesyłek, samoklejąca z paskiem, format A/11, wymiary wewn. 100 x 165 mm  +/-5 mm, wymiary zewn. 120 x 175 mm  +/-5 mm, (10 szt./opak.)</t>
  </si>
  <si>
    <t>Koperta ochronna z warstwą folii bąbelkowej wewnątrz, przeznaczona do transportu przesyłek, samoklejąca z paskiem, format B/12, wymiary wewn. 120 x 220 mm +/- 5 mm, wymiary zewn. 140 x 230 mm +/-5 mm, (10 szt./opak.)</t>
  </si>
  <si>
    <t>Koperta ochronna z warstwą folii bąbelkowej wewnątrz, przeznaczona do transportu przesyłek, samoklejąca z paskiem, format I/19, wymiary wewn. 300 x 430 mm +/- 5 mm, wymiary zewn. 320 x 440 mm +/- 5 mm, (10 szt./opak.)</t>
  </si>
  <si>
    <t>Koperta samoklejąca z okienkiem prawym, format DL, wymiary: 110 x 220 mm, kolor biały, gramatura 90-100 g/m2, (10 szt./opak.)</t>
  </si>
  <si>
    <t xml:space="preserve">Korektor pisak, pojemność: 12-14 ml szybkoschnącego płynu, metalowa końcówka zaworkowa, nasadka chroniąca przed wysychaniem    </t>
  </si>
  <si>
    <t>Kostka papierowa klejona na jednym boku, o wymiarach: 85 x 85 mm +/- 5mm, min. 300 kartek w kostce, kolor biały</t>
  </si>
  <si>
    <t>kostka</t>
  </si>
  <si>
    <t>Kostka papierowa klejona na jednym boku, o wymiarach: 85 x 85 mm +/- 5mm, min. 300 kartek w kostce, mix kolorów</t>
  </si>
  <si>
    <t>Kostka papierowa nieklejona, o wymiarach: 85 x 85 mm +/- 5mm, 350 - 360 kartek w kostce, mix kolorów</t>
  </si>
  <si>
    <t>Kostka papierowa nieklejona, o wymiarach: 85 x 85 mm +/- 5mm, 350- 360 kartek w kostce, kolor biały</t>
  </si>
  <si>
    <t>Koszulki A4 do segregatorów, folia min. 50 mic, krystaliczne, (100 szt./opak.)</t>
  </si>
  <si>
    <t>Koszulki A4 na katalogi, boczna perforacja umożliwiająca wpięcie do segregatora, otwierane z góry, bez klapki, grubość folii min. 170 mic., multiperforowana, z poszerzonym bokami, (10 szt./opak.)</t>
  </si>
  <si>
    <t>Koszulki A5, folia min. 65 mic. do segregatorów, (100 szt./opak.)</t>
  </si>
  <si>
    <t>Linijka biurowa, wykonana z przezroczystego polistyrenu, podziałka w kolorze czarnym, długość: 20 cm</t>
  </si>
  <si>
    <t>Linijka biurowa, wykonana z przezroczystego, polistyrenu, podziałka w kolorze czarnym, długość: 60 cm</t>
  </si>
  <si>
    <r>
      <t xml:space="preserve">Magnesy do gablot/tablic magnetycznych w plastikowej obudowie. Średnica 20 mm, (60 szt./opak), różne kolory, </t>
    </r>
    <r>
      <rPr>
        <sz val="11"/>
        <rFont val="Times New Roman"/>
        <family val="1"/>
        <charset val="238"/>
      </rPr>
      <t>jakość/standard Grand lub równoważne.</t>
    </r>
  </si>
  <si>
    <t>Metki cenowe duże samoprzylepne (rożne kolory)</t>
  </si>
  <si>
    <t>Naboje atramentowe do piór wiecznych w postaci nabojów długich, z dużym zasobnikiem i zbiorniczkiem zapasowyme, kolor: niebieski, czarny, (5 szt./opak.)</t>
  </si>
  <si>
    <t>Naboje atramentowe do piór wiecznych w postaci nabojów krótkich, kolor: niebieski, czarny, (6 szt./opak.)</t>
  </si>
  <si>
    <t>Nożyczki biurowe z wysokiej jakości stali nierdzewnej, długość: 20,5 cm +/- 1 cm, ergonomiczny kształt, wytrzymała rączka z uchwytem PCV</t>
  </si>
  <si>
    <t>Nóż do kopert ze stali nierdzewnej z drewnianą rączką, długość: 22 cm +/- 3 cm</t>
  </si>
  <si>
    <t>Okładki/folia przezroczyste do bindownicy, format: A4, grubość folii: 200 -210 mic., (100 szt./opak.)</t>
  </si>
  <si>
    <t>Ołówek automatyczny na grafity 0,7 mm z metalową chowającą się końcówką i gumowym ergonomicznym korpusem, wymienną gumką.</t>
  </si>
  <si>
    <t>ryza</t>
  </si>
  <si>
    <t>Pinezki tablicowe-beczułki, kolorowe (100 szt./ opak.)</t>
  </si>
  <si>
    <t>Plastikowe zawieszki (identyfikatory) do kluczy z kółeczkiem, zabezpieczone przezroczystą folią, okienko z karteczką do wpisywania, różne kolory</t>
  </si>
  <si>
    <t>Płyn do czyszczenia ekranów monitorów TFT/LCD, wyświetlaczy cienkokrystalicznych, laptopów, skanerów, antyseptyczny, przyjazny środowisku, nie zawierający substancji ściernych, aerozol o pojemności: 200 - 250 ml</t>
  </si>
  <si>
    <t>Podajnik/Gilotynka do taśm klejących, z obciążoną podstawą, posiada paski z gumy antypoślizgowej.</t>
  </si>
  <si>
    <t>Podkładka / Deska A4 z klipsem, sztywna okładka ze sprężystym mechanizmem zaciskowym, różne kolory</t>
  </si>
  <si>
    <t>Podkładka / Deska A5 z klipsem, sztywna okładka ze sprężystym mechanizmem zaciskowym, różne kolory</t>
  </si>
  <si>
    <t>Metalowy pojemnik/przybornik (okrągły lub prostokątny) na akcesoria do pisania</t>
  </si>
  <si>
    <t>Pojemnik na dokumenty z 4 szufladami w różnych kolorach</t>
  </si>
  <si>
    <t>Pojemnik na spinacze z magnetyczną pokrywą</t>
  </si>
  <si>
    <t>Pojemnik na wkłady papierowe, plastikowy, przezroczysty, dostępny z białymi kartkami o wymiarach: 85 x 85 x 50 mm +/- 5mm</t>
  </si>
  <si>
    <t xml:space="preserve">Pojemnik składany na czasopisma wykonany z PCV, wyposażony w dwustronną wymienną etykietę opisową na grzbiecie, otwór na palec umożliwiający zdejmowanie pojemnika z półki, szerokość grzbietu 10-12 cm, min. cztery kolory  </t>
  </si>
  <si>
    <t>Półka na dokumenty formatu A4 wykonana z przeźroczystego plastiku, 
półki układane pionowo lub kaskadowo</t>
  </si>
  <si>
    <t>Przekładki do segregatora kolorowe A4, wykonane z kartonu o grubości min. 250 g/m², index 1-10, rozmiar 235x300 mm +/- 5 mm</t>
  </si>
  <si>
    <t>kpl.</t>
  </si>
  <si>
    <t>Przekładki/separatory kartonowe oddzielające, przeznaczone do segregowania dokumentów, wykonane z grubego ekologicznego kartonu min. 190 g/m², wymiary: 240 x 105 mm +/- 5 mm  (1/3 A4), różne kolory, (100 szt./opak.)</t>
  </si>
  <si>
    <t>Przybornik na biurko do przechowywania wkładów papierowych oraz innych drobnych materiałów biurowych, wykonany z plastiku lub polistyrenu, przezroczysty lub dymny</t>
  </si>
  <si>
    <t xml:space="preserve">Pudełka archiwizacyjne na segregator lub do archiwizowania dokumentów w segregatorze, mieszczące 1 segregator A4/75 mm, po wypełnieniu segregatora dokumentami można go zarchiwizować wraz z zawartością bez potrzeby przekładania dokumentów, wym. 345x 90 x 295mm +/- 5 mm lub 355x300x97 mm +/- 5 mm </t>
  </si>
  <si>
    <t xml:space="preserve">Pudełka archiwizacyjne na segregatory lub do transportu i przechowywania dokumentów w segregatorach, mieszczące 6 segregatorów o szerokości grzbietu 75 mm lub 10 segregatorów A4/50, miejsca do opisu zawartości na bocznych ściankach, wymiary 525 x 338 x 306 mm +/- 5 mm </t>
  </si>
  <si>
    <t>Rozszywacz z mechanizmem blokującym ostrza, przeznaczony do wszystkich typów zszywek</t>
  </si>
  <si>
    <t>Samoprzylepne karteczki indeksujące, o wymiarach: 20 x 50 mm +/- 5mm, 1 komplet 200 (4 kolory po min. 50 szt. w opak.)</t>
  </si>
  <si>
    <t>Samoprzylepne zakładki indeksujące do archiwizacji, z folii PP o grubości min. 140 µm, po których można pisać, mix kolorów, 1 komplet (3 kolory po 20-25 szt. w opak.)</t>
  </si>
  <si>
    <t>Segregator ringowy A4/2R/25 mm, wykonany z utwardzonego kartonu pokrytego polipropylenem (z połyskiem), mechanizm 4-ringowy, różne kolory</t>
  </si>
  <si>
    <t>Segregator A4/42 mm, wykonany z tektury, oklejany na zewnątrz i wewnątrz poliolefiną, jakość/standard Vivida lub różnoważny, różne kolory</t>
  </si>
  <si>
    <t>Segregator A4/50 mm, wykonany z utwardzonego kartonu pokrytego polipropylenem, grzbiet z wymienną etykietą, wzmocniony otwór na palec, dolna krawędź wzmocniona listwą, dźwignia z mechanizmem dociskowym, dwu lub cztero ringowe, różne kolory</t>
  </si>
  <si>
    <t>Segregator A4/75 mm, wykonany z utwardzonego kartonu pokrytego polipropylenem, grzbiet z wymienną etykietą, wzmocniony otwór na palec, dolna krawędź wzmocniona listwą, dźwignia z mechanizmem dociskowym, dwu lub cztero ringowe, różne kolory</t>
  </si>
  <si>
    <t>Skoroszyt A4 plastikowy, przednia okładka przezroczysta, tylna kolorowa, wymienny pasek na opis, zawieszany do segregatora z metalowym wąsem, różne kolory</t>
  </si>
  <si>
    <t>Spinacze biurowe, metalowe, wielkość: 26 mm, w pudełku magnetycznym, (100 szt./opak.)</t>
  </si>
  <si>
    <t>Spinacze biurowe, galwanizowane, okrągłe, wielkość: 28-30 mm, (100 szt./opak.)</t>
  </si>
  <si>
    <t>Spinacze biurowe, galwanizowane, plikowe, wielkość: 50 mm (100 szt./opak.)</t>
  </si>
  <si>
    <t>Sprężone powietrze do czyszczenia urządzeń elektroniczncnych np: komputerów, sprzętu biurowego, sprzętu fotograficznego itp., aerozol o pojemności: min. 250 ml</t>
  </si>
  <si>
    <t>Sznurek pakowy konopny, 4 dkg +/- 1 dkg</t>
  </si>
  <si>
    <t>Sznurek szpagat jutowy, 25 dkg +/- 5 dkg</t>
  </si>
  <si>
    <t>Taśma biurowa matowa/mleczna, samoprzylepna, niewidoczna po naklejeniu, z możliwością pisania po niej, wym. 19 mm x 33 m+/- 1m, jakość/standard 3M Scotch Magic lub równoważne</t>
  </si>
  <si>
    <t>Taśma dwustronna klejąca, wym. 38 mm x 10 m +/- 2 mm x m</t>
  </si>
  <si>
    <t>Taśma dwustronna klejąca, wym. 50 mm x 10 m +/- 2 mm x m</t>
  </si>
  <si>
    <t>Taśma pakowa brązowa, dobra przyczepność i wytrzymałość na zrywanie, o wymiarach: 48 mm x 70Y +/- 5Y</t>
  </si>
  <si>
    <t>Taśma pakowa przeźroczysta, dobra przyczepność i wytrzymałość na zrywanie, wym. 48 mm x 50Y +/- 5Y</t>
  </si>
  <si>
    <t>Taśma samoprzylepna dwustronna, do montażu przedmiotów wewnątrz, taśma utrzymuje ciężar do 800-900g,  wymiary 19 mm x 1,5m +/- 0,5m</t>
  </si>
  <si>
    <t>Taśma samoprzylepna, krystalicznie przeźroczysta, w pudełku, wym. 19 mm x 33 m+/- 1m</t>
  </si>
  <si>
    <t>Taśma samoprzylepna, polipropylenowa na bazie kleju z żywicy kauczukowej, o wysokiej odporności mechanicznej, wym. 19 mm x 33 m +/- 1m</t>
  </si>
  <si>
    <t>Teczka A4 z klipsem, obie okładki sztywne, sprężysty mechanizm zaciskowy, kieszeń na wewnętrznej stronie okładki, uchwyt na długopis, różne kolory</t>
  </si>
  <si>
    <t>Teczka do akt osobowych A4, twarda oprawa, wykonana z kolorowej folii PCV, wyposażona w przekładki A,B,C,D, grzbiet o szerokości 3 cm z kartonikiem do opisu, mechanizm 2 - ringowy</t>
  </si>
  <si>
    <t>Teczka kartonowa A4, zamykana na gumki narożne, lakierowana, różne kolory</t>
  </si>
  <si>
    <t>Teczka kartonowa wiązana A4 biała, gruby karton z nadrukiem</t>
  </si>
  <si>
    <t>Teczka kopertowa A4 zapinana na zatrzask lub inne zapięcie z polipropylenu, różne kolory</t>
  </si>
  <si>
    <t>Teczka kopertowa A5 zapinana na zatrzask lub inne zapięcie z polipropylenu, różne kolory</t>
  </si>
  <si>
    <t>Teczka ofertowa A4 wykonana z polipropylenu ze 100 przeźroczystymi koszulkami, różne kolory</t>
  </si>
  <si>
    <t>Teczka skrzydłowa A4 z gumką, wykonana z kartonu pokrytego folią polipropylenową, szerokość grzbietu: 40-50 mm, różne kolory</t>
  </si>
  <si>
    <t>Teczka wykonana z twardej min. 2 mm tektury powlekanej folią polipropylenową, szer. grzbietu 50 mm+/- 1mm, mix kolorów</t>
  </si>
  <si>
    <t>Teczka z przegródkami A4 z PP, 6 poszczególnych przegródek, każdą przegródkę można opisać na wystającym indeksie, kolor: niebieski, czerwony, czarny, biały, zielony</t>
  </si>
  <si>
    <t>Temperówka plastikowa z pojemnikiem na odpadki, stalowe ostrze do temperowania standardowych oraz grubych ołówków/kredek, dwuotworowa, różne kolory</t>
  </si>
  <si>
    <t>Zakładki indeksujące, o wymiarach: 43 x 12 mm+/- 3mm, 1 komplet (4 kolory po min.35 szt. w opak.), każdy kolor pakowany w osobną kasetkę</t>
  </si>
  <si>
    <t>Zestaw markerów z wycierakiem do tablic białych suchościeralnych, odporna na zasychanie końcówka 4-5 mm, system dozowania tuszu za pomocą tłoczka, płynny tusz, 4 kolory w opakowaniu (czarny, niebieski, zielony, czerwony)</t>
  </si>
  <si>
    <t>Zeszyt A4 w kratkę, 96-kartkowy, okładka lakierowana</t>
  </si>
  <si>
    <t>Zeszyt A5 w kratkę, 60-kartkowy, okładka laminowana</t>
  </si>
  <si>
    <t>Zszywki metalowe, srebrne, pasujące do zszywacza Rexel Odyssey (zszywacz w posiadaniu Zamawiającego) (2500 szt./opak.)</t>
  </si>
  <si>
    <t xml:space="preserve">Zszywki mocne, metalowe, typu 24/6 (1000 szt./opak.) </t>
  </si>
  <si>
    <t xml:space="preserve">Zszywki mocne, metalowe, typu 24/8 (1000 szt./opak.) </t>
  </si>
  <si>
    <t xml:space="preserve">Zszywki mocne, metalowe, typu 26/6 (1000 szt./opak.) </t>
  </si>
  <si>
    <t xml:space="preserve">Zszywki mocne, metalowe, typu No. 10 (1000 szt./opak.) </t>
  </si>
  <si>
    <t xml:space="preserve">Razem: </t>
  </si>
  <si>
    <r>
      <rPr>
        <sz val="11"/>
        <rFont val="Times New Roman"/>
        <family val="1"/>
        <charset val="238"/>
      </rPr>
      <t>Bloczki samoprzylepne w linię, o wymiarach: 101 x 101 mm+/- 5mm, mix kolorów - 1 bloczek zawiera 3 kolory po 70 szt, przyklejające się do trudnych powierzchni typu obudowa komputera, (1 bloczek/opak.)</t>
    </r>
    <r>
      <rPr>
        <strike/>
        <sz val="11"/>
        <rFont val="Times New Roman"/>
        <family val="1"/>
        <charset val="238"/>
      </rPr>
      <t xml:space="preserve">                                                                         </t>
    </r>
  </si>
  <si>
    <r>
      <t>Blok techniczny A4, gramatura 220-240 g/m</t>
    </r>
    <r>
      <rPr>
        <vertAlign val="superscript"/>
        <sz val="11"/>
        <rFont val="Times New Roman"/>
        <family val="1"/>
        <charset val="238"/>
      </rPr>
      <t>2</t>
    </r>
    <r>
      <rPr>
        <sz val="11"/>
        <rFont val="Times New Roman"/>
        <family val="1"/>
        <charset val="238"/>
      </rPr>
      <t xml:space="preserve">, liczba kartek: min. 10 </t>
    </r>
  </si>
  <si>
    <r>
      <t>Etykiety do segregatorów A4, szerokość grzbietu 30 mm</t>
    </r>
    <r>
      <rPr>
        <sz val="11"/>
        <color indexed="10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>+/- 5 mm, (25 - 30 szt./opak.)</t>
    </r>
  </si>
  <si>
    <r>
      <t>Koperta B4, biała HK i/lub brązowe, samoprzylepna z paskiem, gramatura 100-150 g/m</t>
    </r>
    <r>
      <rPr>
        <vertAlign val="superscript"/>
        <sz val="11"/>
        <rFont val="Times New Roman"/>
        <family val="1"/>
        <charset val="238"/>
      </rPr>
      <t>2</t>
    </r>
    <r>
      <rPr>
        <sz val="11"/>
        <rFont val="Times New Roman"/>
        <family val="1"/>
        <charset val="238"/>
      </rPr>
      <t>, wymiary 250 x 353 mm</t>
    </r>
  </si>
  <si>
    <t>Marker permanentny, jakość/standard STAEDLER permanent Lumocolor lub równoważny, wodoodporny, czarny, rozmiar S, F i M</t>
  </si>
  <si>
    <r>
      <t>Okładki skóropodobne do bindownicy, dwustronnie kolorowane, format: A4, gramatura: min. 250 g/m</t>
    </r>
    <r>
      <rPr>
        <vertAlign val="superscript"/>
        <sz val="11"/>
        <rFont val="Times New Roman"/>
        <family val="1"/>
        <charset val="238"/>
      </rPr>
      <t>2</t>
    </r>
    <r>
      <rPr>
        <sz val="11"/>
        <rFont val="Times New Roman"/>
        <family val="1"/>
        <charset val="238"/>
      </rPr>
      <t>, różne kolory, (100 szt./opak.)</t>
    </r>
  </si>
  <si>
    <t xml:space="preserve">Ołówek drewniany bez gumki (12 szt./opak.), jakość/standard Faber Castel lub równoważny, trójkątny przekrój, antypoślizgowa strefa uchwytu pokryta gumowymi punkcikami, twardość: 2H, H, B, 2B, HB </t>
  </si>
  <si>
    <t>Ołówek drewniany z gumką (12 szt./opak.), jakość/standard Faber Castel lub równoważny, ergonomiczny trójkątny przekrój, antypoślizgowa strefa uchwytu pokryta gumowymi punkcikami, twardość: B, HB</t>
  </si>
  <si>
    <r>
      <t>Papier do drukarki, format A4,  gramatura: 220 g/m</t>
    </r>
    <r>
      <rPr>
        <vertAlign val="superscript"/>
        <sz val="11"/>
        <rFont val="Times New Roman"/>
        <family val="1"/>
        <charset val="238"/>
      </rPr>
      <t>2,</t>
    </r>
    <r>
      <rPr>
        <sz val="11"/>
        <rFont val="Times New Roman"/>
        <family val="1"/>
        <charset val="238"/>
      </rPr>
      <t xml:space="preserve"> białość: min. 160 CIE, satynowany, (250 ark./ryza)</t>
    </r>
  </si>
  <si>
    <r>
      <t>Papier do drukarki, format A4, gramatura: 160 g/m</t>
    </r>
    <r>
      <rPr>
        <vertAlign val="superscript"/>
        <sz val="11"/>
        <rFont val="Times New Roman"/>
        <family val="1"/>
        <charset val="238"/>
      </rPr>
      <t>2</t>
    </r>
    <r>
      <rPr>
        <sz val="11"/>
        <rFont val="Times New Roman"/>
        <family val="1"/>
        <charset val="238"/>
      </rPr>
      <t>, białość: min. 160 CIE, satynowany, (250 ark./ryza)</t>
    </r>
  </si>
  <si>
    <r>
      <t>Papier kolorowy do wydruków oraz kopiowania, format A4, gramatura: min. 80 g/m</t>
    </r>
    <r>
      <rPr>
        <vertAlign val="superscript"/>
        <sz val="11"/>
        <rFont val="Times New Roman"/>
        <family val="1"/>
        <charset val="238"/>
      </rPr>
      <t>2</t>
    </r>
    <r>
      <rPr>
        <sz val="11"/>
        <rFont val="Times New Roman"/>
        <family val="1"/>
        <charset val="238"/>
      </rPr>
      <t>, (500 ark./ryza), żółty, zielony, niebieski, różowy</t>
    </r>
  </si>
  <si>
    <r>
      <t>Papier ozdobny wysokiej jakości, przeznaczony np.do eleganckiej korespondencji zewnętrznej, wizytówek, papier firmowy, do certyfikatów, dyplomów; format A4, faktura: płótno, kolor biały lub ecru, gramatura: min. 240 g/m</t>
    </r>
    <r>
      <rPr>
        <vertAlign val="superscript"/>
        <sz val="11"/>
        <rFont val="Times New Roman"/>
        <family val="1"/>
        <charset val="238"/>
      </rPr>
      <t>2</t>
    </r>
    <r>
      <rPr>
        <sz val="11"/>
        <rFont val="Times New Roman"/>
        <family val="1"/>
        <charset val="238"/>
      </rPr>
      <t>, (20 ark./ryza)</t>
    </r>
  </si>
  <si>
    <r>
      <t>Papier pakowy szary, prążkowany, wykonany z celulozy, o wymiarach: 
126 cm x 92 cm +/- 5 cm</t>
    </r>
    <r>
      <rPr>
        <sz val="11"/>
        <color rgb="FFFF0000"/>
        <rFont val="Times New Roman"/>
        <family val="1"/>
        <charset val="238"/>
      </rPr>
      <t xml:space="preserve"> </t>
    </r>
  </si>
  <si>
    <r>
      <t xml:space="preserve">Segregator A4/80 mm, wykonany z utwardzonego kartonu pokrytego dwustronnie folią polipropylenową, grzbiet z wymienną etykietą, wzmocniony otwór na palec, na dolnych krawędziach metalowe okucia, dźwignia z mechanizmem dociskowym, </t>
    </r>
    <r>
      <rPr>
        <sz val="11"/>
        <rFont val="Times New Roman"/>
        <family val="1"/>
        <charset val="238"/>
      </rPr>
      <t>jakość/standard Esselte lub lub równoważny,</t>
    </r>
    <r>
      <rPr>
        <sz val="11"/>
        <color theme="1"/>
        <rFont val="Times New Roman"/>
        <family val="1"/>
        <charset val="238"/>
      </rPr>
      <t xml:space="preserve"> różne kolory </t>
    </r>
  </si>
  <si>
    <r>
      <t>Teczka kartonowa A4 o gramaturze 250 - 350 g/m</t>
    </r>
    <r>
      <rPr>
        <vertAlign val="superscript"/>
        <sz val="11"/>
        <rFont val="Times New Roman"/>
        <family val="1"/>
        <charset val="238"/>
      </rPr>
      <t>2</t>
    </r>
    <r>
      <rPr>
        <sz val="11"/>
        <rFont val="Times New Roman"/>
        <family val="1"/>
        <charset val="238"/>
      </rPr>
      <t>, zamykana na gumkę, lakierowana, różne kolory</t>
    </r>
  </si>
  <si>
    <t>Zakreślacz fluoroscencyjny z tuszem na bazie wody, o uniwersalnym zastosowaniu, płaska, szeroka ścięta końcówka, do pisania na wszystkich rodzajach papieru (również faksowym i samokopiującym), grubość linii: 1-5 mm +/- 2 mm, jakość/standard TAURUS TRADE/IDEST lub równoważny, różne kolory</t>
  </si>
  <si>
    <t>Razem:</t>
  </si>
  <si>
    <t xml:space="preserve">Formularz asortymentowo-cenowy </t>
  </si>
  <si>
    <t>Zamówienia</t>
  </si>
  <si>
    <t>Brutto</t>
  </si>
  <si>
    <t>Faktury</t>
  </si>
  <si>
    <t>Cena jedn. brutto
[zł]</t>
  </si>
  <si>
    <t>Pozostało</t>
  </si>
  <si>
    <t>Bloczki samoprzylepne w różnych kształtach, 380-400 kartek, mix kolorów (1 bloczek/ opak.)</t>
  </si>
  <si>
    <t>Blok papierowy do flipchartu, gładki, 40-50 kartkowy, wym: 65 x 100 cm+/- 1cm</t>
  </si>
  <si>
    <t>Etykiety do segregatorów A4, szerokość grzbietu 50 mm +/- 5 mm, (10 - 15 szt./opak.)</t>
  </si>
  <si>
    <t>Etykiety do segregatorów A4, szerokość grzbietu 75 mm +/- 5 mm, (10 - 15 szt./opak.)</t>
  </si>
  <si>
    <t>Kalkulator biurowy 14 cyfrowy z podwójną pamięcią, korektą ostatniej cyfry, automatycznym powtarzaniem zapisu, obliczenia z pamięcią, klawisz zmiany znaku, zasilanie baterią słoneczną i baterią,  min. 2 lata gwarancji</t>
  </si>
  <si>
    <t>Koperta z rozszerzanymi bokami i spodem, do wysyłania większej ilości korespondencji, samoklejąca z paskiem, format B5, wymiary: 176 x  250 x 32 mm +/-5 mm, kolor biały i/lub brązowy</t>
  </si>
  <si>
    <t>Koperta z rozszerzanymi bokami i spodem, do wysyłania większej ilości korespondencji, samoklejąca z paskiem, format C4, wymiary: 229 x  324 x 38 mm +/-5 mm, kolor biały i/lub brązowy</t>
  </si>
  <si>
    <t>Koperta z rozszerzanymi bokami i spodem, do wysyłania większej ilości korespondencji, samoklejąca z paskiem, format C5, wymiary: 162 x 229 x 32 mm +/- 5 mm, kolor biały i/lub brązowy</t>
  </si>
  <si>
    <t>Koperta z rozszerzanymi bokami i spodem, do wysyłania większej ilości korespondencji, samoklejąca z paskiem, format E4, wymiary: 280 x  400 x 40 mm +/- 5 mm, kolor biały i/lub brązowy</t>
  </si>
  <si>
    <t xml:space="preserve">Ładowarka do akumulatorów ładująca jednocześnie 2 lub 4 akumulatory AA oraz AAA, w komplecie 4 akumulatory AA o pojemności min. 2300 mAh, ładowanie z gniazda sieciowego </t>
  </si>
  <si>
    <t>Zszywacz biurowy mini z metalowymi częściami mechanicznymi, grubość szycia: do 16 kartek, na zszywki 10/10, ładowane od góry</t>
  </si>
  <si>
    <t>Zszywacz biurowy, metalowy lub metalowy w plastikowej obudowie, grubość szycia:  2-30 kartek, na zszywki 24/6, 26/6</t>
  </si>
  <si>
    <t>Zszywacz biurowy z metalowymi częściami mechanicznymi i antypoślizgową podstawą, zszywa 2-120 kartek, na zszywki m.in. 24/6, 24/8</t>
  </si>
  <si>
    <t>Zszywacz biurowy długoramienny, zszywa 2-50 kartek, , na zszywki m.in. 24/6, 24/8 i 26/6, z możliwością zszywania kartek do wewnątrz lub na zewnątrz</t>
  </si>
  <si>
    <t xml:space="preserve">Druk P Magazyn przyjmie, format A5, 80-kartkowy, druk jednostronny, papier samokopiujący </t>
  </si>
  <si>
    <t xml:space="preserve">Druk W Magazyn wyda, format A5, 80-kartkowy, druk jednostronny, papier samokopiujący </t>
  </si>
  <si>
    <t>Dziennik budowy, format A4, 20-stronicowy (oryginał + kopia), druk jednostronny, papier offsetowy</t>
  </si>
  <si>
    <t>Dziennik korespondencyjny A4, 96-100-kartkowy, w twardej oprawie</t>
  </si>
  <si>
    <t>Książka obiektu budowlanego, format A4, 76-stronicowy, druk dwustronny, papier offsetowy</t>
  </si>
  <si>
    <t>Księga obmiaru robót, format A4, 60-stronicowy (oryginał + kopia), druk jednostronny, papier offsetowy</t>
  </si>
  <si>
    <t xml:space="preserve">Księga środków trwałych, format A4, 80-kartkowy, druk dwustronny, papier offsetowy </t>
  </si>
  <si>
    <t xml:space="preserve">Akumulatory AA, conajmnie 500 cykli ładowania, pojemność od  2450 do 2600 mA/h,  nominalne napięcie: 1,2 V; (4 szt./opak.) </t>
  </si>
  <si>
    <t>Białe, samoprzylepne etykiety uniwersalne, przeznaczone do wszystkich typów drukarek, etykiety o wymiarach: 105,0 x 148,5 +/- 5 mm (100 - 120 ark./opak.)</t>
  </si>
  <si>
    <t>Białe, samoprzylepne etykiety uniwersalne, przeznaczone do wszystkich typów drukarek, etykiety o wymiarach: 105,0 x 42,4 mm+/- 5mm, (100 - 120 ark./opak.)</t>
  </si>
  <si>
    <t>Białe, samoprzylepne etykiety uniwersalne, przeznaczone do wszystkich typów drukarek, etykiety o wymiarach: 105,0 x 57,0 mm+/- 5mm, (100 - 120 ark./opak.)</t>
  </si>
  <si>
    <t>Białe, samoprzylepne etykiety uniwersalne, przeznaczone do wszystkich typów drukarek, etykiety o wymiarach: 105,0 x 74,0 mm+/- 5mm, (100 - 120 ark./opak.)</t>
  </si>
  <si>
    <t>Białe, samoprzylepne etykiety uniwersalne, przeznaczone do wszystkich typów drukarek, etykiety o wymiarach: 210,0 x 297,0 mm+/- 5mm, (100 - 120 ark./opak.)</t>
  </si>
  <si>
    <t>Białe, samoprzylepne etykiety uniwersalne, przeznaczone do wszystkich typów drukarek, etykiety o wymiarach: 96,5 x 67,7 mm+/- 5mm, (100 - 120 ark./opak.)</t>
  </si>
  <si>
    <t>Bloczki samoprzylepne o wymiarach: 51 x 38 mm+/- 5mm, 100-120 kartek, z możliwością wielokrotnego przyklejania i odklejania, kolor żółty (3 bloczki/opak.)</t>
  </si>
  <si>
    <t>Bloczki samoprzylepne o wymiarach: 51 x 76 mm+/- 5mm, 100-120 kartek, z możliwością wielokrotnego przyklejania i odklejania, kolor żółty, (1 bloczek/opak.)</t>
  </si>
  <si>
    <t>Bloczki samoprzylepne, o wymiarach: 76 x 76 mm+/- 5mm, 100-120 kartek, z możliwością wielokrotnego przyklejania i odklejania, mix kolorów (1 bloczek/opak.)</t>
  </si>
  <si>
    <t xml:space="preserve">Cienkopis kreślarski, PIN- 200 UNI lub RYSTOR, grubość końcówki 0,2 mm </t>
  </si>
  <si>
    <t>Długopis automatyczny, wymienne metalowe wkłady, Zenith 7 Classic lub równoważny</t>
  </si>
  <si>
    <t>Długopis ścieralny (pióro kulkowe), różne kolory np.: niebieski, czarny, czerwony,  PILOT FRIXION BALL lub równoważny</t>
  </si>
  <si>
    <t>Długopis ścieralny (cienkopis) z igłową końcówką, PILOT FRIXION POINT lub równoważny</t>
  </si>
  <si>
    <t>Długopis,  grubość linii pisania: 0,3-0,4 mm,  BIC  ORANGE lub równoważny</t>
  </si>
  <si>
    <t>Długopis żelowy z wymiennym wkładem,  grubość linii pisania: 0,30-0,32 mm,  PILOT G-2 lub równoważny, kolory: czarny, niebieski, czerwony, zielony</t>
  </si>
  <si>
    <t>Dziurkacz na 20-25 kartek,  metalowy, z pojemnikiem na konfetti, z nakładką antypoślizgową, ogranicznik do formatów A4, A5, A6, Folio, Us Quart, 8 x 8 x 8</t>
  </si>
  <si>
    <t>Dziurkacz na 40-50 kartek (regulowany rozstaw otworów), z metalową podstawą, żeliwnym ramieniem i pojemnikiem na konfetti, wyposażony we wskaźnik środka strony oraz listwę formatową</t>
  </si>
  <si>
    <t>Foliopis permanentny, wodoodporny, szybkoschnący, nierozmazujący się tusz, , grubość pisania 0,6-0,7 mm, kolory: czarny, czerwony, niebieski, zielony,  Rystor lub równoważny</t>
  </si>
  <si>
    <t>Grafity do ołówków automatycznych o grubości 0,7 mm, utwardzana powłoka polimerowa, twardość HB, H, B, 2B, PENTEL lub równoważny  (12 szt./opak.)</t>
  </si>
  <si>
    <t>Gumka dwustronna, część biała przeznaczona do ścierania ołówka, część niebieska do wycierania atramentu z papieru, wymiary: 43 x 19 x 13 mm +/- 5 mm,  STAEDLER lub równoważny</t>
  </si>
  <si>
    <t>Gumki recepturki,  domieszka kauczuku (80%), wytrzymałe i elastyczne, mix kolorów, (0,5 kg+/- 100g w opak.)</t>
  </si>
  <si>
    <t>Marker dwustronny do płyt CD i DVD, możliwość pisania na powierzchniach plastikowych, szklanych, metalowych i drewnianych, wodoodporny i nieścieralny tusz, grubość linii pisania: 0,4 mm/1,5-2,5 mm, kolory: czarny, niebieski, czerwony, zielony</t>
  </si>
  <si>
    <t>Marker olejowy, przeznaczony do pisania po szkle, metalu, plastiku, gumie, końcówka z tłoczkiem,  PENTEL lub równoważny, pojemność: 6,0-6,5 ml, różne kolory</t>
  </si>
  <si>
    <t xml:space="preserve">Marker permanentny,  Pentel N850 lub równoważny, z okrągłą końcówką,  do pisania po metalu, szkle, plastiku, gumie, papierze, drewnie, wodoodporny, grubość linii pisania: 1,5-1,6 mm, </t>
  </si>
  <si>
    <t>Markery do tablic białych sucho ścieralnych,  końcówka 4-5 mm, płynny tusz, kolory: czarny, niebieski, zielony, czerwony</t>
  </si>
  <si>
    <t>Metki cenowe (etykiety cenowe do metkownic), jednorzędowe, w kształcie fali, 26 x 12 mm, (1 rolka 700 szt. etykietek), różne kolory</t>
  </si>
  <si>
    <t>Naboje atramentowe do piór wiecznych w postaci nabojów długich,  Parker lub równoważne (pióra w posiadaniu Zamawiającego), kolor: niebieski, czarny, (5 szt./opak.)</t>
  </si>
  <si>
    <r>
      <t>Ołowek grafitowy z gumką (12szt./opak.), elastyczny korpus, trwały grafit HB o średnicy 2,3 mm,</t>
    </r>
    <r>
      <rPr>
        <b/>
        <sz val="11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>jakość/standard BIC EVOLUTION Original lub równoważny</t>
    </r>
  </si>
  <si>
    <r>
      <t>Papier do wydruków kolorowych i czarno-białych oraz kopiowania, format A3, gramatura: 80 g/m</t>
    </r>
    <r>
      <rPr>
        <vertAlign val="superscript"/>
        <sz val="11"/>
        <rFont val="Times New Roman"/>
        <family val="1"/>
        <charset val="238"/>
      </rPr>
      <t>2</t>
    </r>
    <r>
      <rPr>
        <sz val="11"/>
        <rFont val="Times New Roman"/>
        <family val="1"/>
        <charset val="238"/>
      </rPr>
      <t>, białość: CIE 161, (500 ark./ryza), o jakości/standard POLlux lub równoważny</t>
    </r>
  </si>
  <si>
    <r>
      <t>Papier do wydruków kolorowych i czarno-białych oraz kopiowania, format A4, wysoka białość, sztywność umożliwiająca zadruk jedno-dwustronny, gramatura: 80g/m</t>
    </r>
    <r>
      <rPr>
        <vertAlign val="superscript"/>
        <sz val="11"/>
        <rFont val="Times New Roman"/>
        <family val="1"/>
        <charset val="238"/>
      </rPr>
      <t>2</t>
    </r>
    <r>
      <rPr>
        <sz val="11"/>
        <rFont val="Times New Roman"/>
        <family val="1"/>
        <charset val="238"/>
      </rPr>
      <t>, białość: conajmniej CIE 166, grubość: 108 µm, nieprzeźroczystość: 93%, (500 ark./ryza), o jakości/standard POLjet lub równoważny</t>
    </r>
  </si>
  <si>
    <r>
      <t xml:space="preserve">Pióro kulkowe ,  płynny tusz żelowy, grubość końcówki: 0,7-0,75 mm, </t>
    </r>
    <r>
      <rPr>
        <sz val="11"/>
        <rFont val="Times New Roman"/>
        <family val="1"/>
        <charset val="238"/>
      </rPr>
      <t xml:space="preserve"> jakość/standard Pentel EnerGel BL437 lub równoważny</t>
    </r>
    <r>
      <rPr>
        <sz val="11"/>
        <color theme="1"/>
        <rFont val="Times New Roman"/>
        <family val="1"/>
        <charset val="238"/>
      </rPr>
      <t>, kolor: niebieski</t>
    </r>
  </si>
  <si>
    <t>Korektor w taśmie, długość taśmy: 25 - 27 m, szerokość: 4,1-4,2 mm,  przezroczysta obudowa, ruchomy mechanizm zabezpieczający taśmę przed zabrudzeniem lub uszkodzeniem</t>
  </si>
  <si>
    <t>Koszulki A4 do segregatorów, folia 100 - 105 mic, krystaliczne, (100 szt./opak.)</t>
  </si>
  <si>
    <t>Wkład do długopisu żelowego, określonego w pozycji nr 43, grubość linii pisania: 0,3-0,32 mm, kolory: czarny, niebieski, czerwony, zielony</t>
  </si>
  <si>
    <t>Wkład do długopisu, określonego w pozycji nr 39, kolory: niebieski, czarny</t>
  </si>
  <si>
    <t>Wkład olejowy do długopisu określonego w pozycji nr 44, kolor: niebieski</t>
  </si>
  <si>
    <t>Wkłady do długopisu określonego w pozycji nr 40, ścieralnych, jakość/standard FRIXION BALL lub równoważny, kolory: niebieski, czarny, czerwony</t>
  </si>
  <si>
    <t xml:space="preserve">Wkład do pióra określonego w pozycji nr 133, wodoodporny i nieblaknący tusz pigmentowy umożliwiający pisanie po śliskim papierze, kolory: czarny, niebieski </t>
  </si>
  <si>
    <t>Cienkopis, tusz wodny, zmywalny, grubość linii pisania: 0,3-0,31 mm, różne kolory, Staedtler  lub równoważny</t>
  </si>
  <si>
    <t>Załącznik nr 2 do Zapytania ofertowego 4/REG/2025</t>
  </si>
  <si>
    <t>Wartość netto [zł]
 (kol.6 x kol.7)</t>
  </si>
  <si>
    <t>Wartość podatku VAT [zł] 
(kol.8 x kol.9)</t>
  </si>
  <si>
    <t>Wartość brutto [zł]  
(kol.8 + kol.10)</t>
  </si>
  <si>
    <t>VAT (%)</t>
  </si>
  <si>
    <t>Pióro kulkowe z wymiennym wkładem, końcówka: 0,69-0,7 mm, grubość linii pisma: 0,35-0,4 mm, jakość/standard UNI JetStream SX-217 lub równoważny, kolory: czarny, niebieski i czerwony</t>
  </si>
  <si>
    <t>Wartość netto [zł]</t>
  </si>
  <si>
    <t>Wartość podatku VAT [zł]</t>
  </si>
  <si>
    <t>Wartość brutto [zł]</t>
  </si>
  <si>
    <t>Cena jedn. brutto [zł]</t>
  </si>
  <si>
    <t>Data i podpis upoważnionego przedstawiciela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</si>
</sst>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#,##0.00\ &quot;zł&quot;;\-#,##0.00\ &quot;zł&quot;"/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_-* #,##0.00\ _z_ł_-;\-* #,##0.00\ _z_ł_-;_-* &quot;-&quot;??\ _z_ł_-;_-@_-"/>
    <numFmt numFmtId="165" formatCode="#,##0.00\ &quot;zł&quot;"/>
    <numFmt numFmtId="166" formatCode="0.0"/>
    <numFmt numFmtId="167" formatCode="[$-415]0.000"/>
  </numFmts>
  <fonts count="3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</font>
    <font>
      <u/>
      <sz val="11"/>
      <color theme="10"/>
      <name val="Czcionka tekstu podstawowego"/>
      <family val="2"/>
      <charset val="238"/>
    </font>
    <font>
      <sz val="11"/>
      <color theme="1"/>
      <name val="Times New Roman"/>
      <family val="2"/>
      <charset val="238"/>
    </font>
    <font>
      <sz val="11"/>
      <color rgb="FF9C0006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vertAlign val="superscript"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color rgb="FF333333"/>
      <name val="Times New Roman"/>
      <family val="1"/>
      <charset val="238"/>
    </font>
    <font>
      <sz val="11"/>
      <color rgb="FF373C42"/>
      <name val="Times New Roman"/>
      <family val="1"/>
      <charset val="238"/>
    </font>
    <font>
      <sz val="11"/>
      <color rgb="FF222222"/>
      <name val="Times New Roman"/>
      <family val="1"/>
      <charset val="238"/>
    </font>
    <font>
      <strike/>
      <sz val="11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sz val="11"/>
      <color rgb="FF9C5700"/>
      <name val="Calibri"/>
      <family val="2"/>
      <charset val="238"/>
      <scheme val="minor"/>
    </font>
    <font>
      <b/>
      <sz val="11"/>
      <color rgb="FF9C57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9"/>
      <color theme="1"/>
      <name val="Calibri Light"/>
      <family val="2"/>
      <charset val="238"/>
      <scheme val="major"/>
    </font>
    <font>
      <b/>
      <sz val="9"/>
      <name val="Calibri Light"/>
      <family val="2"/>
      <charset val="238"/>
      <scheme val="major"/>
    </font>
    <font>
      <b/>
      <sz val="14"/>
      <color theme="1"/>
      <name val="Calibri Light"/>
      <family val="2"/>
      <charset val="238"/>
      <scheme val="major"/>
    </font>
    <font>
      <b/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99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00">
    <xf numFmtId="0" fontId="0" fillId="0" borderId="0"/>
    <xf numFmtId="0" fontId="3" fillId="0" borderId="0"/>
    <xf numFmtId="43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0" fillId="0" borderId="0" applyBorder="0" applyProtection="0"/>
    <xf numFmtId="0" fontId="5" fillId="0" borderId="0"/>
    <xf numFmtId="0" fontId="6" fillId="0" borderId="0"/>
    <xf numFmtId="0" fontId="6" fillId="0" borderId="0"/>
    <xf numFmtId="0" fontId="6" fillId="0" borderId="0"/>
    <xf numFmtId="165" fontId="11" fillId="0" borderId="0" applyBorder="0" applyProtection="0"/>
    <xf numFmtId="165" fontId="11" fillId="0" borderId="0" applyBorder="0" applyProtection="0"/>
    <xf numFmtId="165" fontId="11" fillId="0" borderId="0" applyBorder="0" applyProtection="0"/>
    <xf numFmtId="165" fontId="11" fillId="0" borderId="0" applyBorder="0" applyProtection="0"/>
    <xf numFmtId="165" fontId="11" fillId="0" borderId="0" applyBorder="0" applyProtection="0"/>
    <xf numFmtId="166" fontId="10" fillId="0" borderId="0" applyBorder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167" fontId="3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3" fillId="0" borderId="0"/>
    <xf numFmtId="0" fontId="9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44" fontId="5" fillId="0" borderId="0" applyFont="0" applyFill="0" applyBorder="0" applyAlignment="0" applyProtection="0"/>
    <xf numFmtId="165" fontId="10" fillId="0" borderId="0" applyBorder="0" applyProtection="0"/>
    <xf numFmtId="0" fontId="1" fillId="0" borderId="0"/>
    <xf numFmtId="0" fontId="1" fillId="0" borderId="0"/>
    <xf numFmtId="0" fontId="9" fillId="0" borderId="0"/>
    <xf numFmtId="0" fontId="14" fillId="3" borderId="0" applyNumberFormat="0" applyBorder="0" applyAlignment="0" applyProtection="0"/>
    <xf numFmtId="0" fontId="30" fillId="4" borderId="0" applyNumberFormat="0" applyBorder="0" applyAlignment="0" applyProtection="0"/>
  </cellStyleXfs>
  <cellXfs count="86">
    <xf numFmtId="0" fontId="0" fillId="0" borderId="0" xfId="0"/>
    <xf numFmtId="165" fontId="0" fillId="0" borderId="0" xfId="0" applyNumberFormat="1"/>
    <xf numFmtId="49" fontId="20" fillId="0" borderId="0" xfId="0" applyNumberFormat="1" applyFont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49" fontId="16" fillId="0" borderId="1" xfId="0" applyNumberFormat="1" applyFont="1" applyBorder="1" applyAlignment="1" applyProtection="1">
      <alignment horizontal="center" vertical="center" wrapText="1"/>
      <protection locked="0"/>
    </xf>
    <xf numFmtId="49" fontId="19" fillId="0" borderId="0" xfId="0" applyNumberFormat="1" applyFont="1" applyAlignment="1" applyProtection="1">
      <alignment horizontal="center" vertical="center" wrapText="1"/>
      <protection locked="0"/>
    </xf>
    <xf numFmtId="49" fontId="16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1" xfId="0" applyNumberFormat="1" applyFont="1" applyBorder="1" applyAlignment="1" applyProtection="1">
      <alignment horizontal="center" vertical="center" wrapText="1"/>
      <protection locked="0"/>
    </xf>
    <xf numFmtId="49" fontId="16" fillId="0" borderId="1" xfId="0" applyNumberFormat="1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center" vertical="center"/>
    </xf>
    <xf numFmtId="0" fontId="16" fillId="2" borderId="1" xfId="0" applyFont="1" applyFill="1" applyBorder="1" applyAlignment="1" applyProtection="1">
      <alignment horizontal="center" vertical="center" wrapText="1"/>
      <protection locked="0"/>
    </xf>
    <xf numFmtId="49" fontId="22" fillId="0" borderId="0" xfId="0" applyNumberFormat="1" applyFont="1" applyAlignment="1" applyProtection="1">
      <alignment horizontal="center" vertical="center"/>
      <protection locked="0"/>
    </xf>
    <xf numFmtId="0" fontId="19" fillId="2" borderId="1" xfId="0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/>
    </xf>
    <xf numFmtId="0" fontId="16" fillId="0" borderId="1" xfId="0" applyNumberFormat="1" applyFont="1" applyBorder="1" applyAlignment="1" applyProtection="1">
      <alignment horizontal="center" vertical="center" wrapText="1"/>
      <protection locked="0"/>
    </xf>
    <xf numFmtId="0" fontId="1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1" xfId="0" applyNumberFormat="1" applyFont="1" applyBorder="1" applyAlignment="1" applyProtection="1">
      <alignment horizontal="center" vertical="center"/>
      <protection locked="0"/>
    </xf>
    <xf numFmtId="0" fontId="23" fillId="0" borderId="1" xfId="0" applyNumberFormat="1" applyFont="1" applyBorder="1" applyAlignment="1" applyProtection="1">
      <alignment horizontal="center" vertical="center" wrapText="1"/>
      <protection locked="0"/>
    </xf>
    <xf numFmtId="0" fontId="1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" xfId="0" applyNumberFormat="1" applyFont="1" applyBorder="1" applyAlignment="1" applyProtection="1">
      <alignment horizontal="center" vertical="center"/>
      <protection locked="0"/>
    </xf>
    <xf numFmtId="0" fontId="16" fillId="0" borderId="0" xfId="0" applyNumberFormat="1" applyFont="1" applyFill="1" applyAlignment="1" applyProtection="1">
      <alignment horizontal="center" vertical="center"/>
      <protection locked="0"/>
    </xf>
    <xf numFmtId="1" fontId="16" fillId="0" borderId="1" xfId="0" applyNumberFormat="1" applyFont="1" applyBorder="1" applyAlignment="1" applyProtection="1">
      <alignment horizontal="center" vertical="center"/>
      <protection locked="0"/>
    </xf>
    <xf numFmtId="0" fontId="19" fillId="0" borderId="1" xfId="0" applyFont="1" applyFill="1" applyBorder="1" applyAlignment="1" applyProtection="1">
      <alignment horizontal="center" vertical="center" wrapText="1"/>
      <protection locked="0"/>
    </xf>
    <xf numFmtId="165" fontId="16" fillId="0" borderId="1" xfId="0" applyNumberFormat="1" applyFont="1" applyBorder="1" applyAlignment="1" applyProtection="1">
      <alignment horizontal="right" vertical="center" wrapText="1"/>
      <protection locked="0"/>
    </xf>
    <xf numFmtId="165" fontId="16" fillId="2" borderId="1" xfId="0" applyNumberFormat="1" applyFont="1" applyFill="1" applyBorder="1" applyAlignment="1" applyProtection="1">
      <alignment horizontal="right" vertical="center" wrapText="1"/>
      <protection locked="0"/>
    </xf>
    <xf numFmtId="9" fontId="16" fillId="2" borderId="1" xfId="0" applyNumberFormat="1" applyFont="1" applyFill="1" applyBorder="1" applyAlignment="1" applyProtection="1">
      <alignment horizontal="center" vertical="center" wrapText="1"/>
      <protection locked="0"/>
    </xf>
    <xf numFmtId="165" fontId="31" fillId="4" borderId="0" xfId="299" applyNumberFormat="1" applyFont="1"/>
    <xf numFmtId="0" fontId="32" fillId="5" borderId="0" xfId="0" applyFont="1" applyFill="1"/>
    <xf numFmtId="165" fontId="32" fillId="5" borderId="0" xfId="0" applyNumberFormat="1" applyFont="1" applyFill="1"/>
    <xf numFmtId="0" fontId="0" fillId="0" borderId="0" xfId="0" applyAlignment="1">
      <alignment vertical="center" wrapText="1"/>
    </xf>
    <xf numFmtId="0" fontId="0" fillId="0" borderId="1" xfId="0" applyBorder="1"/>
    <xf numFmtId="165" fontId="0" fillId="0" borderId="1" xfId="0" applyNumberFormat="1" applyBorder="1"/>
    <xf numFmtId="9" fontId="0" fillId="0" borderId="1" xfId="0" applyNumberFormat="1" applyBorder="1"/>
    <xf numFmtId="165" fontId="27" fillId="6" borderId="1" xfId="0" applyNumberFormat="1" applyFont="1" applyFill="1" applyBorder="1"/>
    <xf numFmtId="7" fontId="0" fillId="0" borderId="1" xfId="0" applyNumberFormat="1" applyBorder="1"/>
    <xf numFmtId="0" fontId="19" fillId="0" borderId="1" xfId="0" applyFont="1" applyBorder="1" applyAlignment="1" applyProtection="1">
      <alignment horizontal="center" vertical="center" wrapText="1"/>
      <protection locked="0"/>
    </xf>
    <xf numFmtId="0" fontId="19" fillId="0" borderId="1" xfId="0" applyNumberFormat="1" applyFont="1" applyBorder="1" applyAlignment="1" applyProtection="1">
      <alignment horizontal="center" vertical="center" wrapText="1"/>
      <protection locked="0"/>
    </xf>
    <xf numFmtId="165" fontId="33" fillId="0" borderId="1" xfId="0" applyNumberFormat="1" applyFont="1" applyBorder="1"/>
    <xf numFmtId="9" fontId="33" fillId="0" borderId="1" xfId="0" applyNumberFormat="1" applyFont="1" applyBorder="1"/>
    <xf numFmtId="7" fontId="33" fillId="0" borderId="1" xfId="0" applyNumberFormat="1" applyFont="1" applyBorder="1"/>
    <xf numFmtId="0" fontId="33" fillId="0" borderId="0" xfId="0" applyFont="1"/>
    <xf numFmtId="0" fontId="19" fillId="0" borderId="1" xfId="0" applyFont="1" applyBorder="1" applyAlignment="1" applyProtection="1">
      <alignment vertical="center" wrapText="1"/>
      <protection locked="0"/>
    </xf>
    <xf numFmtId="0" fontId="19" fillId="0" borderId="1" xfId="0" applyFont="1" applyBorder="1" applyAlignment="1" applyProtection="1">
      <alignment horizontal="left" vertical="center" wrapText="1"/>
      <protection locked="0"/>
    </xf>
    <xf numFmtId="0" fontId="16" fillId="0" borderId="1" xfId="0" applyFont="1" applyBorder="1" applyAlignment="1" applyProtection="1">
      <alignment vertical="center" wrapText="1"/>
      <protection locked="0"/>
    </xf>
    <xf numFmtId="0" fontId="24" fillId="0" borderId="1" xfId="0" applyFont="1" applyBorder="1" applyAlignment="1" applyProtection="1">
      <alignment horizontal="left" vertical="center" wrapText="1"/>
      <protection locked="0"/>
    </xf>
    <xf numFmtId="0" fontId="16" fillId="0" borderId="1" xfId="0" applyFont="1" applyBorder="1" applyAlignment="1" applyProtection="1">
      <alignment horizontal="left" vertical="center" wrapText="1"/>
      <protection locked="0"/>
    </xf>
    <xf numFmtId="0" fontId="19" fillId="2" borderId="1" xfId="0" applyFont="1" applyFill="1" applyBorder="1" applyAlignment="1" applyProtection="1">
      <alignment horizontal="left" vertical="center" wrapText="1"/>
      <protection locked="0"/>
    </xf>
    <xf numFmtId="0" fontId="20" fillId="0" borderId="1" xfId="0" applyFont="1" applyBorder="1" applyAlignment="1" applyProtection="1">
      <alignment vertical="center" wrapText="1"/>
      <protection locked="0"/>
    </xf>
    <xf numFmtId="0" fontId="19" fillId="2" borderId="1" xfId="0" applyFont="1" applyFill="1" applyBorder="1" applyAlignment="1" applyProtection="1">
      <alignment vertical="center" wrapText="1"/>
      <protection locked="0"/>
    </xf>
    <xf numFmtId="0" fontId="0" fillId="0" borderId="0" xfId="0" applyAlignment="1">
      <alignment horizontal="center"/>
    </xf>
    <xf numFmtId="0" fontId="15" fillId="7" borderId="1" xfId="0" applyFont="1" applyFill="1" applyBorder="1" applyAlignment="1" applyProtection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49" fontId="16" fillId="7" borderId="1" xfId="0" applyNumberFormat="1" applyFont="1" applyFill="1" applyBorder="1" applyAlignment="1" applyProtection="1">
      <alignment horizontal="center" vertical="center" wrapText="1"/>
    </xf>
    <xf numFmtId="0" fontId="29" fillId="7" borderId="1" xfId="0" applyFont="1" applyFill="1" applyBorder="1" applyAlignment="1" applyProtection="1">
      <alignment horizontal="center" vertical="center" wrapText="1"/>
      <protection locked="0"/>
    </xf>
    <xf numFmtId="0" fontId="0" fillId="7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4" fillId="0" borderId="0" xfId="0" applyFont="1" applyBorder="1" applyAlignment="1" applyProtection="1">
      <alignment horizontal="center" wrapText="1"/>
    </xf>
    <xf numFmtId="0" fontId="34" fillId="2" borderId="5" xfId="0" applyFont="1" applyFill="1" applyBorder="1" applyAlignment="1">
      <alignment horizontal="left"/>
    </xf>
    <xf numFmtId="0" fontId="34" fillId="2" borderId="6" xfId="0" applyFont="1" applyFill="1" applyBorder="1" applyAlignment="1">
      <alignment horizontal="left"/>
    </xf>
    <xf numFmtId="0" fontId="34" fillId="7" borderId="1" xfId="0" applyFont="1" applyFill="1" applyBorder="1" applyAlignment="1" applyProtection="1">
      <alignment horizontal="center" vertical="center" wrapText="1"/>
    </xf>
    <xf numFmtId="0" fontId="34" fillId="7" borderId="2" xfId="0" applyFont="1" applyFill="1" applyBorder="1" applyAlignment="1" applyProtection="1">
      <alignment horizontal="center" vertical="center" wrapText="1"/>
    </xf>
    <xf numFmtId="0" fontId="34" fillId="7" borderId="2" xfId="0" applyFont="1" applyFill="1" applyBorder="1" applyAlignment="1" applyProtection="1">
      <alignment horizontal="center" vertical="center" wrapText="1"/>
      <protection locked="0"/>
    </xf>
    <xf numFmtId="0" fontId="35" fillId="7" borderId="1" xfId="0" applyFont="1" applyFill="1" applyBorder="1" applyAlignment="1">
      <alignment horizontal="center" vertical="center" wrapText="1"/>
    </xf>
    <xf numFmtId="0" fontId="34" fillId="7" borderId="1" xfId="0" applyFont="1" applyFill="1" applyBorder="1" applyAlignment="1" applyProtection="1">
      <alignment horizontal="center" vertical="center" wrapText="1"/>
    </xf>
    <xf numFmtId="49" fontId="34" fillId="7" borderId="1" xfId="0" applyNumberFormat="1" applyFont="1" applyFill="1" applyBorder="1" applyAlignment="1" applyProtection="1">
      <alignment horizontal="center" vertical="center" wrapText="1"/>
    </xf>
    <xf numFmtId="0" fontId="34" fillId="7" borderId="3" xfId="0" applyFont="1" applyFill="1" applyBorder="1" applyAlignment="1" applyProtection="1">
      <alignment horizontal="center" vertical="center" wrapText="1"/>
    </xf>
    <xf numFmtId="0" fontId="34" fillId="7" borderId="3" xfId="0" applyFont="1" applyFill="1" applyBorder="1" applyAlignment="1" applyProtection="1">
      <alignment horizontal="center" vertical="center" wrapText="1"/>
      <protection locked="0"/>
    </xf>
    <xf numFmtId="0" fontId="34" fillId="0" borderId="7" xfId="0" applyFont="1" applyBorder="1" applyAlignment="1">
      <alignment horizontal="center"/>
    </xf>
    <xf numFmtId="0" fontId="34" fillId="0" borderId="0" xfId="0" applyFont="1" applyAlignment="1">
      <alignment horizontal="center"/>
    </xf>
    <xf numFmtId="0" fontId="36" fillId="0" borderId="4" xfId="0" applyFont="1" applyBorder="1" applyAlignment="1" applyProtection="1">
      <alignment horizontal="center" wrapText="1"/>
    </xf>
    <xf numFmtId="0" fontId="17" fillId="7" borderId="1" xfId="298" applyNumberFormat="1" applyFont="1" applyFill="1" applyBorder="1" applyAlignment="1" applyProtection="1">
      <alignment horizontal="center" vertical="center" wrapText="1"/>
      <protection locked="0"/>
    </xf>
    <xf numFmtId="0" fontId="17" fillId="7" borderId="1" xfId="0" applyFont="1" applyFill="1" applyBorder="1" applyAlignment="1" applyProtection="1">
      <alignment horizontal="center" vertical="center" wrapText="1"/>
    </xf>
    <xf numFmtId="165" fontId="15" fillId="7" borderId="1" xfId="0" applyNumberFormat="1" applyFont="1" applyFill="1" applyBorder="1" applyAlignment="1" applyProtection="1">
      <alignment horizontal="right" vertical="center" wrapText="1"/>
      <protection locked="0"/>
    </xf>
    <xf numFmtId="9" fontId="15" fillId="7" borderId="1" xfId="0" applyNumberFormat="1" applyFont="1" applyFill="1" applyBorder="1" applyAlignment="1" applyProtection="1">
      <alignment horizontal="center" vertical="center" wrapText="1"/>
      <protection locked="0"/>
    </xf>
    <xf numFmtId="0" fontId="27" fillId="7" borderId="1" xfId="0" applyFont="1" applyFill="1" applyBorder="1" applyAlignment="1">
      <alignment horizontal="center" vertical="center"/>
    </xf>
    <xf numFmtId="44" fontId="27" fillId="7" borderId="1" xfId="0" applyNumberFormat="1" applyFont="1" applyFill="1" applyBorder="1" applyAlignment="1">
      <alignment vertical="center"/>
    </xf>
    <xf numFmtId="165" fontId="17" fillId="7" borderId="1" xfId="0" applyNumberFormat="1" applyFont="1" applyFill="1" applyBorder="1" applyAlignment="1" applyProtection="1">
      <alignment horizontal="right" vertical="center" wrapText="1"/>
      <protection locked="0"/>
    </xf>
    <xf numFmtId="9" fontId="17" fillId="7" borderId="1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1" xfId="0" applyFont="1" applyFill="1" applyBorder="1" applyAlignment="1">
      <alignment horizontal="center" vertical="center"/>
    </xf>
    <xf numFmtId="44" fontId="37" fillId="7" borderId="1" xfId="0" applyNumberFormat="1" applyFont="1" applyFill="1" applyBorder="1" applyAlignment="1">
      <alignment vertical="center"/>
    </xf>
    <xf numFmtId="0" fontId="17" fillId="7" borderId="1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28" fillId="7" borderId="5" xfId="0" applyFont="1" applyFill="1" applyBorder="1" applyAlignment="1" applyProtection="1">
      <alignment horizontal="center" vertical="center" wrapText="1"/>
      <protection locked="0"/>
    </xf>
    <xf numFmtId="0" fontId="28" fillId="7" borderId="8" xfId="0" applyFont="1" applyFill="1" applyBorder="1" applyAlignment="1" applyProtection="1">
      <alignment horizontal="center" vertical="center" wrapText="1"/>
      <protection locked="0"/>
    </xf>
    <xf numFmtId="0" fontId="28" fillId="7" borderId="6" xfId="0" applyFont="1" applyFill="1" applyBorder="1" applyAlignment="1" applyProtection="1">
      <alignment horizontal="center" vertical="center" wrapText="1"/>
      <protection locked="0"/>
    </xf>
  </cellXfs>
  <cellStyles count="300">
    <cellStyle name="Dziesiętny 2" xfId="2" xr:uid="{00000000-0005-0000-0000-000000000000}"/>
    <cellStyle name="Dziesiętny 2 10" xfId="3" xr:uid="{00000000-0005-0000-0000-000001000000}"/>
    <cellStyle name="Dziesiętny 2 10 2" xfId="228" xr:uid="{00000000-0005-0000-0000-000002000000}"/>
    <cellStyle name="Dziesiętny 2 11" xfId="4" xr:uid="{00000000-0005-0000-0000-000003000000}"/>
    <cellStyle name="Dziesiętny 2 12" xfId="5" xr:uid="{00000000-0005-0000-0000-000004000000}"/>
    <cellStyle name="Dziesiętny 2 13" xfId="6" xr:uid="{00000000-0005-0000-0000-000005000000}"/>
    <cellStyle name="Dziesiętny 2 14" xfId="7" xr:uid="{00000000-0005-0000-0000-000006000000}"/>
    <cellStyle name="Dziesiętny 2 15" xfId="8" xr:uid="{00000000-0005-0000-0000-000007000000}"/>
    <cellStyle name="Dziesiętny 2 2" xfId="9" xr:uid="{00000000-0005-0000-0000-000008000000}"/>
    <cellStyle name="Dziesiętny 2 2 2" xfId="10" xr:uid="{00000000-0005-0000-0000-000009000000}"/>
    <cellStyle name="Dziesiętny 2 2 2 2" xfId="229" xr:uid="{00000000-0005-0000-0000-00000A000000}"/>
    <cellStyle name="Dziesiętny 2 2 3" xfId="11" xr:uid="{00000000-0005-0000-0000-00000B000000}"/>
    <cellStyle name="Dziesiętny 2 2 3 2" xfId="230" xr:uid="{00000000-0005-0000-0000-00000C000000}"/>
    <cellStyle name="Dziesiętny 2 2 4" xfId="12" xr:uid="{00000000-0005-0000-0000-00000D000000}"/>
    <cellStyle name="Dziesiętny 2 2 4 2" xfId="231" xr:uid="{00000000-0005-0000-0000-00000E000000}"/>
    <cellStyle name="Dziesiętny 2 2 5" xfId="13" xr:uid="{00000000-0005-0000-0000-00000F000000}"/>
    <cellStyle name="Dziesiętny 2 2 5 2" xfId="232" xr:uid="{00000000-0005-0000-0000-000010000000}"/>
    <cellStyle name="Dziesiętny 2 2 6" xfId="233" xr:uid="{00000000-0005-0000-0000-000011000000}"/>
    <cellStyle name="Dziesiętny 2 3" xfId="14" xr:uid="{00000000-0005-0000-0000-000012000000}"/>
    <cellStyle name="Dziesiętny 2 3 2" xfId="15" xr:uid="{00000000-0005-0000-0000-000013000000}"/>
    <cellStyle name="Dziesiętny 2 3 2 2" xfId="234" xr:uid="{00000000-0005-0000-0000-000014000000}"/>
    <cellStyle name="Dziesiętny 2 3 3" xfId="235" xr:uid="{00000000-0005-0000-0000-000015000000}"/>
    <cellStyle name="Dziesiętny 2 4" xfId="16" xr:uid="{00000000-0005-0000-0000-000016000000}"/>
    <cellStyle name="Dziesiętny 2 4 2" xfId="236" xr:uid="{00000000-0005-0000-0000-000017000000}"/>
    <cellStyle name="Dziesiętny 2 5" xfId="17" xr:uid="{00000000-0005-0000-0000-000018000000}"/>
    <cellStyle name="Dziesiętny 2 5 2" xfId="237" xr:uid="{00000000-0005-0000-0000-000019000000}"/>
    <cellStyle name="Dziesiętny 2 6" xfId="18" xr:uid="{00000000-0005-0000-0000-00001A000000}"/>
    <cellStyle name="Dziesiętny 2 6 2" xfId="238" xr:uid="{00000000-0005-0000-0000-00001B000000}"/>
    <cellStyle name="Dziesiętny 2 7" xfId="19" xr:uid="{00000000-0005-0000-0000-00001C000000}"/>
    <cellStyle name="Dziesiętny 2 7 2" xfId="239" xr:uid="{00000000-0005-0000-0000-00001D000000}"/>
    <cellStyle name="Dziesiętny 2 8" xfId="20" xr:uid="{00000000-0005-0000-0000-00001E000000}"/>
    <cellStyle name="Dziesiętny 2 8 2" xfId="240" xr:uid="{00000000-0005-0000-0000-00001F000000}"/>
    <cellStyle name="Dziesiętny 2 9" xfId="21" xr:uid="{00000000-0005-0000-0000-000020000000}"/>
    <cellStyle name="Dziesiętny 2 9 2" xfId="241" xr:uid="{00000000-0005-0000-0000-000021000000}"/>
    <cellStyle name="Dziesiętny 3" xfId="22" xr:uid="{00000000-0005-0000-0000-000022000000}"/>
    <cellStyle name="Dziesiętny 4" xfId="23" xr:uid="{00000000-0005-0000-0000-000023000000}"/>
    <cellStyle name="Dziesiętny 5" xfId="24" xr:uid="{00000000-0005-0000-0000-000024000000}"/>
    <cellStyle name="Dziesiętny 6" xfId="25" xr:uid="{00000000-0005-0000-0000-000025000000}"/>
    <cellStyle name="Dziesiętny 7" xfId="26" xr:uid="{00000000-0005-0000-0000-000026000000}"/>
    <cellStyle name="Dziesiętny 8" xfId="27" xr:uid="{00000000-0005-0000-0000-000027000000}"/>
    <cellStyle name="Dziesiętny 9" xfId="242" xr:uid="{00000000-0005-0000-0000-000028000000}"/>
    <cellStyle name="Excel Built-in Normal" xfId="28" xr:uid="{00000000-0005-0000-0000-000029000000}"/>
    <cellStyle name="Excel Built-in Normal 1" xfId="29" xr:uid="{00000000-0005-0000-0000-00002A000000}"/>
    <cellStyle name="Excel Built-in Normal 2" xfId="30" xr:uid="{00000000-0005-0000-0000-00002B000000}"/>
    <cellStyle name="Excel Built-in Normal 3" xfId="31" xr:uid="{00000000-0005-0000-0000-00002C000000}"/>
    <cellStyle name="Excel Built-in Normal 4" xfId="32" xr:uid="{00000000-0005-0000-0000-00002D000000}"/>
    <cellStyle name="Excel Built-in Normal 5" xfId="33" xr:uid="{00000000-0005-0000-0000-00002E000000}"/>
    <cellStyle name="Excel Built-in Normal 5 2" xfId="294" xr:uid="{00000000-0005-0000-0000-00002F000000}"/>
    <cellStyle name="Excel Built-in Normal 6" xfId="34" xr:uid="{00000000-0005-0000-0000-000030000000}"/>
    <cellStyle name="Excel Built-in Normal 7" xfId="35" xr:uid="{00000000-0005-0000-0000-000031000000}"/>
    <cellStyle name="Excel Built-in Normal 8" xfId="36" xr:uid="{00000000-0005-0000-0000-000032000000}"/>
    <cellStyle name="Excel Built-in Normal 9" xfId="37" xr:uid="{00000000-0005-0000-0000-000033000000}"/>
    <cellStyle name="Excel Built-in Percent" xfId="38" xr:uid="{00000000-0005-0000-0000-000034000000}"/>
    <cellStyle name="Hyperlink 3" xfId="39" xr:uid="{00000000-0005-0000-0000-000035000000}"/>
    <cellStyle name="Neutralny" xfId="299" builtinId="28"/>
    <cellStyle name="Normal 2" xfId="40" xr:uid="{00000000-0005-0000-0000-000037000000}"/>
    <cellStyle name="Normal 3" xfId="41" xr:uid="{00000000-0005-0000-0000-000038000000}"/>
    <cellStyle name="Normal 3 2" xfId="42" xr:uid="{00000000-0005-0000-0000-000039000000}"/>
    <cellStyle name="Normal 3 2 2" xfId="43" xr:uid="{00000000-0005-0000-0000-00003A000000}"/>
    <cellStyle name="Normal 3 2 3" xfId="44" xr:uid="{00000000-0005-0000-0000-00003B000000}"/>
    <cellStyle name="Normal 3 2 4" xfId="45" xr:uid="{00000000-0005-0000-0000-00003C000000}"/>
    <cellStyle name="Normal 3 3" xfId="46" xr:uid="{00000000-0005-0000-0000-00003D000000}"/>
    <cellStyle name="Normal 3 3 2" xfId="47" xr:uid="{00000000-0005-0000-0000-00003E000000}"/>
    <cellStyle name="Normal 3 4" xfId="48" xr:uid="{00000000-0005-0000-0000-00003F000000}"/>
    <cellStyle name="Normal 3 5" xfId="49" xr:uid="{00000000-0005-0000-0000-000040000000}"/>
    <cellStyle name="Normal 3 6" xfId="50" xr:uid="{00000000-0005-0000-0000-000041000000}"/>
    <cellStyle name="Normal 3 7" xfId="51" xr:uid="{00000000-0005-0000-0000-000042000000}"/>
    <cellStyle name="Normal 4" xfId="52" xr:uid="{00000000-0005-0000-0000-000043000000}"/>
    <cellStyle name="Normalny" xfId="0" builtinId="0"/>
    <cellStyle name="Normalny 10" xfId="53" xr:uid="{00000000-0005-0000-0000-000044000000}"/>
    <cellStyle name="Normalny 11" xfId="54" xr:uid="{00000000-0005-0000-0000-000045000000}"/>
    <cellStyle name="Normalny 11 2" xfId="55" xr:uid="{00000000-0005-0000-0000-000046000000}"/>
    <cellStyle name="Normalny 11 3" xfId="56" xr:uid="{00000000-0005-0000-0000-000047000000}"/>
    <cellStyle name="Normalny 110" xfId="57" xr:uid="{00000000-0005-0000-0000-000048000000}"/>
    <cellStyle name="Normalny 12" xfId="58" xr:uid="{00000000-0005-0000-0000-000049000000}"/>
    <cellStyle name="Normalny 12 2" xfId="59" xr:uid="{00000000-0005-0000-0000-00004A000000}"/>
    <cellStyle name="Normalny 12 3" xfId="60" xr:uid="{00000000-0005-0000-0000-00004B000000}"/>
    <cellStyle name="Normalny 13" xfId="61" xr:uid="{00000000-0005-0000-0000-00004C000000}"/>
    <cellStyle name="Normalny 13 2" xfId="62" xr:uid="{00000000-0005-0000-0000-00004D000000}"/>
    <cellStyle name="Normalny 13 3" xfId="63" xr:uid="{00000000-0005-0000-0000-00004E000000}"/>
    <cellStyle name="Normalny 14" xfId="64" xr:uid="{00000000-0005-0000-0000-00004F000000}"/>
    <cellStyle name="Normalny 14 2" xfId="65" xr:uid="{00000000-0005-0000-0000-000050000000}"/>
    <cellStyle name="Normalny 14 3" xfId="66" xr:uid="{00000000-0005-0000-0000-000051000000}"/>
    <cellStyle name="Normalny 15" xfId="67" xr:uid="{00000000-0005-0000-0000-000052000000}"/>
    <cellStyle name="Normalny 15 2" xfId="68" xr:uid="{00000000-0005-0000-0000-000053000000}"/>
    <cellStyle name="Normalny 15 3" xfId="69" xr:uid="{00000000-0005-0000-0000-000054000000}"/>
    <cellStyle name="Normalny 16" xfId="70" xr:uid="{00000000-0005-0000-0000-000055000000}"/>
    <cellStyle name="Normalny 16 2" xfId="71" xr:uid="{00000000-0005-0000-0000-000056000000}"/>
    <cellStyle name="Normalny 16 3" xfId="72" xr:uid="{00000000-0005-0000-0000-000057000000}"/>
    <cellStyle name="Normalny 17" xfId="291" xr:uid="{00000000-0005-0000-0000-000058000000}"/>
    <cellStyle name="Normalny 18" xfId="1" xr:uid="{00000000-0005-0000-0000-000059000000}"/>
    <cellStyle name="Normalny 2" xfId="73" xr:uid="{00000000-0005-0000-0000-00005A000000}"/>
    <cellStyle name="Normalny 2 10" xfId="74" xr:uid="{00000000-0005-0000-0000-00005B000000}"/>
    <cellStyle name="Normalny 2 10 2" xfId="295" xr:uid="{00000000-0005-0000-0000-00005C000000}"/>
    <cellStyle name="Normalny 2 11" xfId="75" xr:uid="{00000000-0005-0000-0000-00005D000000}"/>
    <cellStyle name="Normalny 2 11 2" xfId="296" xr:uid="{00000000-0005-0000-0000-00005E000000}"/>
    <cellStyle name="Normalny 2 12" xfId="76" xr:uid="{00000000-0005-0000-0000-00005F000000}"/>
    <cellStyle name="Normalny 2 13" xfId="77" xr:uid="{00000000-0005-0000-0000-000060000000}"/>
    <cellStyle name="Normalny 2 14" xfId="78" xr:uid="{00000000-0005-0000-0000-000061000000}"/>
    <cellStyle name="Normalny 2 15" xfId="292" xr:uid="{00000000-0005-0000-0000-000062000000}"/>
    <cellStyle name="Normalny 2 2" xfId="79" xr:uid="{00000000-0005-0000-0000-000063000000}"/>
    <cellStyle name="Normalny 2 2 10" xfId="80" xr:uid="{00000000-0005-0000-0000-000064000000}"/>
    <cellStyle name="Normalny 2 2 11" xfId="81" xr:uid="{00000000-0005-0000-0000-000065000000}"/>
    <cellStyle name="Normalny 2 2 12" xfId="82" xr:uid="{00000000-0005-0000-0000-000066000000}"/>
    <cellStyle name="Normalny 2 2 13" xfId="83" xr:uid="{00000000-0005-0000-0000-000067000000}"/>
    <cellStyle name="Normalny 2 2 2" xfId="84" xr:uid="{00000000-0005-0000-0000-000068000000}"/>
    <cellStyle name="Normalny 2 2 3" xfId="85" xr:uid="{00000000-0005-0000-0000-000069000000}"/>
    <cellStyle name="Normalny 2 2 3 2" xfId="86" xr:uid="{00000000-0005-0000-0000-00006A000000}"/>
    <cellStyle name="Normalny 2 2 3 3" xfId="87" xr:uid="{00000000-0005-0000-0000-00006B000000}"/>
    <cellStyle name="Normalny 2 2 3 4" xfId="88" xr:uid="{00000000-0005-0000-0000-00006C000000}"/>
    <cellStyle name="Normalny 2 2 4" xfId="89" xr:uid="{00000000-0005-0000-0000-00006D000000}"/>
    <cellStyle name="Normalny 2 2 4 2" xfId="90" xr:uid="{00000000-0005-0000-0000-00006E000000}"/>
    <cellStyle name="Normalny 2 2 5" xfId="91" xr:uid="{00000000-0005-0000-0000-00006F000000}"/>
    <cellStyle name="Normalny 2 2 6" xfId="92" xr:uid="{00000000-0005-0000-0000-000070000000}"/>
    <cellStyle name="Normalny 2 2 7" xfId="93" xr:uid="{00000000-0005-0000-0000-000071000000}"/>
    <cellStyle name="Normalny 2 2 8" xfId="94" xr:uid="{00000000-0005-0000-0000-000072000000}"/>
    <cellStyle name="Normalny 2 2 9" xfId="95" xr:uid="{00000000-0005-0000-0000-000073000000}"/>
    <cellStyle name="Normalny 2 3" xfId="96" xr:uid="{00000000-0005-0000-0000-000074000000}"/>
    <cellStyle name="Normalny 2 3 2" xfId="97" xr:uid="{00000000-0005-0000-0000-000075000000}"/>
    <cellStyle name="Normalny 2 4" xfId="98" xr:uid="{00000000-0005-0000-0000-000076000000}"/>
    <cellStyle name="Normalny 2 5" xfId="99" xr:uid="{00000000-0005-0000-0000-000077000000}"/>
    <cellStyle name="Normalny 2 6" xfId="100" xr:uid="{00000000-0005-0000-0000-000078000000}"/>
    <cellStyle name="Normalny 2 7" xfId="101" xr:uid="{00000000-0005-0000-0000-000079000000}"/>
    <cellStyle name="Normalny 2 8" xfId="102" xr:uid="{00000000-0005-0000-0000-00007A000000}"/>
    <cellStyle name="Normalny 2 9" xfId="103" xr:uid="{00000000-0005-0000-0000-00007B000000}"/>
    <cellStyle name="Normalny 21" xfId="104" xr:uid="{00000000-0005-0000-0000-00007C000000}"/>
    <cellStyle name="Normalny 3" xfId="105" xr:uid="{00000000-0005-0000-0000-00007D000000}"/>
    <cellStyle name="Normalny 3 2" xfId="106" xr:uid="{00000000-0005-0000-0000-00007E000000}"/>
    <cellStyle name="Normalny 4" xfId="107" xr:uid="{00000000-0005-0000-0000-00007F000000}"/>
    <cellStyle name="Normalny 4 3" xfId="297" xr:uid="{5554181A-E720-4C81-81DE-A73026CDA8AA}"/>
    <cellStyle name="Normalny 5" xfId="108" xr:uid="{00000000-0005-0000-0000-000080000000}"/>
    <cellStyle name="Normalny 6" xfId="109" xr:uid="{00000000-0005-0000-0000-000081000000}"/>
    <cellStyle name="Normalny 6 2" xfId="110" xr:uid="{00000000-0005-0000-0000-000082000000}"/>
    <cellStyle name="Normalny 6 2 2" xfId="111" xr:uid="{00000000-0005-0000-0000-000083000000}"/>
    <cellStyle name="Normalny 6 3" xfId="112" xr:uid="{00000000-0005-0000-0000-000084000000}"/>
    <cellStyle name="Normalny 6 4" xfId="113" xr:uid="{00000000-0005-0000-0000-000085000000}"/>
    <cellStyle name="Normalny 6 5" xfId="114" xr:uid="{00000000-0005-0000-0000-000086000000}"/>
    <cellStyle name="Normalny 6 6" xfId="115" xr:uid="{00000000-0005-0000-0000-000087000000}"/>
    <cellStyle name="Normalny 7" xfId="116" xr:uid="{00000000-0005-0000-0000-000088000000}"/>
    <cellStyle name="Normalny 7 2" xfId="117" xr:uid="{00000000-0005-0000-0000-000089000000}"/>
    <cellStyle name="Normalny 7 2 2" xfId="118" xr:uid="{00000000-0005-0000-0000-00008A000000}"/>
    <cellStyle name="Normalny 7 2 3" xfId="119" xr:uid="{00000000-0005-0000-0000-00008B000000}"/>
    <cellStyle name="Normalny 7 2 4" xfId="120" xr:uid="{00000000-0005-0000-0000-00008C000000}"/>
    <cellStyle name="Normalny 7 3" xfId="121" xr:uid="{00000000-0005-0000-0000-00008D000000}"/>
    <cellStyle name="Normalny 7 3 2" xfId="122" xr:uid="{00000000-0005-0000-0000-00008E000000}"/>
    <cellStyle name="Normalny 7 4" xfId="123" xr:uid="{00000000-0005-0000-0000-00008F000000}"/>
    <cellStyle name="Normalny 7 5" xfId="124" xr:uid="{00000000-0005-0000-0000-000090000000}"/>
    <cellStyle name="Normalny 7 6" xfId="125" xr:uid="{00000000-0005-0000-0000-000091000000}"/>
    <cellStyle name="Normalny 7 7" xfId="126" xr:uid="{00000000-0005-0000-0000-000092000000}"/>
    <cellStyle name="Normalny 70" xfId="127" xr:uid="{00000000-0005-0000-0000-000093000000}"/>
    <cellStyle name="Normalny 8" xfId="128" xr:uid="{00000000-0005-0000-0000-000094000000}"/>
    <cellStyle name="Normalny 8 2" xfId="129" xr:uid="{00000000-0005-0000-0000-000095000000}"/>
    <cellStyle name="Normalny 8 2 2" xfId="130" xr:uid="{00000000-0005-0000-0000-000096000000}"/>
    <cellStyle name="Normalny 8 2 3" xfId="131" xr:uid="{00000000-0005-0000-0000-000097000000}"/>
    <cellStyle name="Normalny 8 2 4" xfId="132" xr:uid="{00000000-0005-0000-0000-000098000000}"/>
    <cellStyle name="Normalny 8 3" xfId="133" xr:uid="{00000000-0005-0000-0000-000099000000}"/>
    <cellStyle name="Normalny 8 3 2" xfId="134" xr:uid="{00000000-0005-0000-0000-00009A000000}"/>
    <cellStyle name="Normalny 8 4" xfId="135" xr:uid="{00000000-0005-0000-0000-00009B000000}"/>
    <cellStyle name="Normalny 8 5" xfId="136" xr:uid="{00000000-0005-0000-0000-00009C000000}"/>
    <cellStyle name="Normalny 8 6" xfId="137" xr:uid="{00000000-0005-0000-0000-00009D000000}"/>
    <cellStyle name="Normalny 8 7" xfId="138" xr:uid="{00000000-0005-0000-0000-00009E000000}"/>
    <cellStyle name="Normalny 9" xfId="139" xr:uid="{00000000-0005-0000-0000-00009F000000}"/>
    <cellStyle name="Procentowy 2" xfId="140" xr:uid="{00000000-0005-0000-0000-0000A0000000}"/>
    <cellStyle name="Procentowy 2 2" xfId="141" xr:uid="{00000000-0005-0000-0000-0000A1000000}"/>
    <cellStyle name="Procentowy 2 2 2" xfId="142" xr:uid="{00000000-0005-0000-0000-0000A2000000}"/>
    <cellStyle name="Procentowy 2 2 3" xfId="143" xr:uid="{00000000-0005-0000-0000-0000A3000000}"/>
    <cellStyle name="Procentowy 2 2 3 2" xfId="243" xr:uid="{00000000-0005-0000-0000-0000A4000000}"/>
    <cellStyle name="Procentowy 2 2 4" xfId="144" xr:uid="{00000000-0005-0000-0000-0000A5000000}"/>
    <cellStyle name="Procentowy 2 2 4 2" xfId="145" xr:uid="{00000000-0005-0000-0000-0000A6000000}"/>
    <cellStyle name="Procentowy 2 2 5" xfId="146" xr:uid="{00000000-0005-0000-0000-0000A7000000}"/>
    <cellStyle name="Procentowy 2 2 6" xfId="147" xr:uid="{00000000-0005-0000-0000-0000A8000000}"/>
    <cellStyle name="Procentowy 2 2 7" xfId="148" xr:uid="{00000000-0005-0000-0000-0000A9000000}"/>
    <cellStyle name="Procentowy 2 2 8" xfId="149" xr:uid="{00000000-0005-0000-0000-0000AA000000}"/>
    <cellStyle name="Procentowy 2 3" xfId="150" xr:uid="{00000000-0005-0000-0000-0000AB000000}"/>
    <cellStyle name="Procentowy 2 3 2" xfId="151" xr:uid="{00000000-0005-0000-0000-0000AC000000}"/>
    <cellStyle name="Procentowy 2 4" xfId="152" xr:uid="{00000000-0005-0000-0000-0000AD000000}"/>
    <cellStyle name="Procentowy 2 5" xfId="153" xr:uid="{00000000-0005-0000-0000-0000AE000000}"/>
    <cellStyle name="Procentowy 2 6" xfId="154" xr:uid="{00000000-0005-0000-0000-0000AF000000}"/>
    <cellStyle name="Procentowy 2 7" xfId="155" xr:uid="{00000000-0005-0000-0000-0000B0000000}"/>
    <cellStyle name="Procentowy 3" xfId="156" xr:uid="{00000000-0005-0000-0000-0000B1000000}"/>
    <cellStyle name="Procentowy 4" xfId="157" xr:uid="{00000000-0005-0000-0000-0000B2000000}"/>
    <cellStyle name="Procentowy 4 2" xfId="158" xr:uid="{00000000-0005-0000-0000-0000B3000000}"/>
    <cellStyle name="Procentowy 4 2 2" xfId="244" xr:uid="{00000000-0005-0000-0000-0000B4000000}"/>
    <cellStyle name="Procentowy 4 3" xfId="159" xr:uid="{00000000-0005-0000-0000-0000B5000000}"/>
    <cellStyle name="Procentowy 4 3 2" xfId="160" xr:uid="{00000000-0005-0000-0000-0000B6000000}"/>
    <cellStyle name="Procentowy 4 4" xfId="161" xr:uid="{00000000-0005-0000-0000-0000B7000000}"/>
    <cellStyle name="Procentowy 4 5" xfId="162" xr:uid="{00000000-0005-0000-0000-0000B8000000}"/>
    <cellStyle name="Procentowy 4 6" xfId="163" xr:uid="{00000000-0005-0000-0000-0000B9000000}"/>
    <cellStyle name="Procentowy 4 7" xfId="164" xr:uid="{00000000-0005-0000-0000-0000BA000000}"/>
    <cellStyle name="Procentowy 5" xfId="165" xr:uid="{00000000-0005-0000-0000-0000BB000000}"/>
    <cellStyle name="Procentowy 5 2" xfId="166" xr:uid="{00000000-0005-0000-0000-0000BC000000}"/>
    <cellStyle name="Procentowy 5 2 2" xfId="167" xr:uid="{00000000-0005-0000-0000-0000BD000000}"/>
    <cellStyle name="Procentowy 5 3" xfId="168" xr:uid="{00000000-0005-0000-0000-0000BE000000}"/>
    <cellStyle name="Procentowy 5 4" xfId="169" xr:uid="{00000000-0005-0000-0000-0000BF000000}"/>
    <cellStyle name="Procentowy 5 5" xfId="170" xr:uid="{00000000-0005-0000-0000-0000C0000000}"/>
    <cellStyle name="Procentowy 5 6" xfId="171" xr:uid="{00000000-0005-0000-0000-0000C1000000}"/>
    <cellStyle name="Procentowy 6" xfId="172" xr:uid="{00000000-0005-0000-0000-0000C2000000}"/>
    <cellStyle name="Procentowy 6 2" xfId="173" xr:uid="{00000000-0005-0000-0000-0000C3000000}"/>
    <cellStyle name="Procentowy 7" xfId="174" xr:uid="{00000000-0005-0000-0000-0000C4000000}"/>
    <cellStyle name="Procentowy 7 2" xfId="175" xr:uid="{00000000-0005-0000-0000-0000C5000000}"/>
    <cellStyle name="Procentowy 7 2 2" xfId="245" xr:uid="{00000000-0005-0000-0000-0000C6000000}"/>
    <cellStyle name="Procentowy 7 3" xfId="176" xr:uid="{00000000-0005-0000-0000-0000C7000000}"/>
    <cellStyle name="Procentowy 7 3 2" xfId="177" xr:uid="{00000000-0005-0000-0000-0000C8000000}"/>
    <cellStyle name="Procentowy 7 4" xfId="178" xr:uid="{00000000-0005-0000-0000-0000C9000000}"/>
    <cellStyle name="Procentowy 7 5" xfId="179" xr:uid="{00000000-0005-0000-0000-0000CA000000}"/>
    <cellStyle name="Procentowy 7 6" xfId="180" xr:uid="{00000000-0005-0000-0000-0000CB000000}"/>
    <cellStyle name="Procentowy 7 7" xfId="181" xr:uid="{00000000-0005-0000-0000-0000CC000000}"/>
    <cellStyle name="Tekst objaśnienia 2" xfId="182" xr:uid="{00000000-0005-0000-0000-0000CD000000}"/>
    <cellStyle name="Tekst objaśnienia 3" xfId="183" xr:uid="{00000000-0005-0000-0000-0000CE000000}"/>
    <cellStyle name="Walutowy 2" xfId="184" xr:uid="{00000000-0005-0000-0000-0000CF000000}"/>
    <cellStyle name="Walutowy 2 2" xfId="185" xr:uid="{00000000-0005-0000-0000-0000D0000000}"/>
    <cellStyle name="Walutowy 2 2 2" xfId="186" xr:uid="{00000000-0005-0000-0000-0000D1000000}"/>
    <cellStyle name="Walutowy 2 2 2 2" xfId="187" xr:uid="{00000000-0005-0000-0000-0000D2000000}"/>
    <cellStyle name="Walutowy 2 2 2 2 2" xfId="188" xr:uid="{00000000-0005-0000-0000-0000D3000000}"/>
    <cellStyle name="Walutowy 2 2 2 2 2 2" xfId="246" xr:uid="{00000000-0005-0000-0000-0000D4000000}"/>
    <cellStyle name="Walutowy 2 2 2 2 3" xfId="247" xr:uid="{00000000-0005-0000-0000-0000D5000000}"/>
    <cellStyle name="Walutowy 2 2 2 3" xfId="189" xr:uid="{00000000-0005-0000-0000-0000D6000000}"/>
    <cellStyle name="Walutowy 2 2 2 3 2" xfId="248" xr:uid="{00000000-0005-0000-0000-0000D7000000}"/>
    <cellStyle name="Walutowy 2 2 2 4" xfId="190" xr:uid="{00000000-0005-0000-0000-0000D8000000}"/>
    <cellStyle name="Walutowy 2 2 2 4 2" xfId="249" xr:uid="{00000000-0005-0000-0000-0000D9000000}"/>
    <cellStyle name="Walutowy 2 2 2 5" xfId="191" xr:uid="{00000000-0005-0000-0000-0000DA000000}"/>
    <cellStyle name="Walutowy 2 2 2 5 2" xfId="250" xr:uid="{00000000-0005-0000-0000-0000DB000000}"/>
    <cellStyle name="Walutowy 2 2 2 6" xfId="192" xr:uid="{00000000-0005-0000-0000-0000DC000000}"/>
    <cellStyle name="Walutowy 2 2 2 6 2" xfId="251" xr:uid="{00000000-0005-0000-0000-0000DD000000}"/>
    <cellStyle name="Walutowy 2 2 2 7" xfId="252" xr:uid="{00000000-0005-0000-0000-0000DE000000}"/>
    <cellStyle name="Walutowy 2 2 2 8" xfId="293" xr:uid="{00000000-0005-0000-0000-0000DF000000}"/>
    <cellStyle name="Walutowy 2 2 3" xfId="193" xr:uid="{00000000-0005-0000-0000-0000E0000000}"/>
    <cellStyle name="Walutowy 2 2 3 2" xfId="194" xr:uid="{00000000-0005-0000-0000-0000E1000000}"/>
    <cellStyle name="Walutowy 2 2 3 2 2" xfId="253" xr:uid="{00000000-0005-0000-0000-0000E2000000}"/>
    <cellStyle name="Walutowy 2 2 3 3" xfId="195" xr:uid="{00000000-0005-0000-0000-0000E3000000}"/>
    <cellStyle name="Walutowy 2 2 3 3 2" xfId="254" xr:uid="{00000000-0005-0000-0000-0000E4000000}"/>
    <cellStyle name="Walutowy 2 2 3 4" xfId="196" xr:uid="{00000000-0005-0000-0000-0000E5000000}"/>
    <cellStyle name="Walutowy 2 2 3 4 2" xfId="255" xr:uid="{00000000-0005-0000-0000-0000E6000000}"/>
    <cellStyle name="Walutowy 2 2 3 5" xfId="256" xr:uid="{00000000-0005-0000-0000-0000E7000000}"/>
    <cellStyle name="Walutowy 2 2 4" xfId="197" xr:uid="{00000000-0005-0000-0000-0000E8000000}"/>
    <cellStyle name="Walutowy 2 2 4 2" xfId="198" xr:uid="{00000000-0005-0000-0000-0000E9000000}"/>
    <cellStyle name="Walutowy 2 2 4 2 2" xfId="257" xr:uid="{00000000-0005-0000-0000-0000EA000000}"/>
    <cellStyle name="Walutowy 2 2 4 3" xfId="258" xr:uid="{00000000-0005-0000-0000-0000EB000000}"/>
    <cellStyle name="Walutowy 2 2 5" xfId="199" xr:uid="{00000000-0005-0000-0000-0000EC000000}"/>
    <cellStyle name="Walutowy 2 2 5 2" xfId="259" xr:uid="{00000000-0005-0000-0000-0000ED000000}"/>
    <cellStyle name="Walutowy 2 2 6" xfId="200" xr:uid="{00000000-0005-0000-0000-0000EE000000}"/>
    <cellStyle name="Walutowy 2 2 6 2" xfId="260" xr:uid="{00000000-0005-0000-0000-0000EF000000}"/>
    <cellStyle name="Walutowy 2 2 7" xfId="201" xr:uid="{00000000-0005-0000-0000-0000F0000000}"/>
    <cellStyle name="Walutowy 2 2 7 2" xfId="261" xr:uid="{00000000-0005-0000-0000-0000F1000000}"/>
    <cellStyle name="Walutowy 2 2 8" xfId="202" xr:uid="{00000000-0005-0000-0000-0000F2000000}"/>
    <cellStyle name="Walutowy 2 2 8 2" xfId="262" xr:uid="{00000000-0005-0000-0000-0000F3000000}"/>
    <cellStyle name="Walutowy 2 2 9" xfId="263" xr:uid="{00000000-0005-0000-0000-0000F4000000}"/>
    <cellStyle name="Walutowy 2 3" xfId="203" xr:uid="{00000000-0005-0000-0000-0000F5000000}"/>
    <cellStyle name="Walutowy 2 3 2" xfId="204" xr:uid="{00000000-0005-0000-0000-0000F6000000}"/>
    <cellStyle name="Walutowy 2 3 2 2" xfId="264" xr:uid="{00000000-0005-0000-0000-0000F7000000}"/>
    <cellStyle name="Walutowy 2 3 3" xfId="265" xr:uid="{00000000-0005-0000-0000-0000F8000000}"/>
    <cellStyle name="Walutowy 2 4" xfId="205" xr:uid="{00000000-0005-0000-0000-0000F9000000}"/>
    <cellStyle name="Walutowy 2 4 2" xfId="266" xr:uid="{00000000-0005-0000-0000-0000FA000000}"/>
    <cellStyle name="Walutowy 2 5" xfId="206" xr:uid="{00000000-0005-0000-0000-0000FB000000}"/>
    <cellStyle name="Walutowy 2 5 2" xfId="267" xr:uid="{00000000-0005-0000-0000-0000FC000000}"/>
    <cellStyle name="Walutowy 2 6" xfId="207" xr:uid="{00000000-0005-0000-0000-0000FD000000}"/>
    <cellStyle name="Walutowy 2 6 2" xfId="268" xr:uid="{00000000-0005-0000-0000-0000FE000000}"/>
    <cellStyle name="Walutowy 2 7" xfId="208" xr:uid="{00000000-0005-0000-0000-0000FF000000}"/>
    <cellStyle name="Walutowy 2 7 2" xfId="269" xr:uid="{00000000-0005-0000-0000-000000010000}"/>
    <cellStyle name="Walutowy 2 8" xfId="270" xr:uid="{00000000-0005-0000-0000-000001010000}"/>
    <cellStyle name="Walutowy 3" xfId="209" xr:uid="{00000000-0005-0000-0000-000002010000}"/>
    <cellStyle name="Walutowy 3 2" xfId="210" xr:uid="{00000000-0005-0000-0000-000003010000}"/>
    <cellStyle name="Walutowy 3 2 2" xfId="211" xr:uid="{00000000-0005-0000-0000-000004010000}"/>
    <cellStyle name="Walutowy 3 2 2 2" xfId="271" xr:uid="{00000000-0005-0000-0000-000005010000}"/>
    <cellStyle name="Walutowy 3 2 3" xfId="212" xr:uid="{00000000-0005-0000-0000-000006010000}"/>
    <cellStyle name="Walutowy 3 2 3 2" xfId="272" xr:uid="{00000000-0005-0000-0000-000007010000}"/>
    <cellStyle name="Walutowy 3 2 4" xfId="213" xr:uid="{00000000-0005-0000-0000-000008010000}"/>
    <cellStyle name="Walutowy 3 2 4 2" xfId="273" xr:uid="{00000000-0005-0000-0000-000009010000}"/>
    <cellStyle name="Walutowy 3 2 5" xfId="274" xr:uid="{00000000-0005-0000-0000-00000A010000}"/>
    <cellStyle name="Walutowy 3 3" xfId="214" xr:uid="{00000000-0005-0000-0000-00000B010000}"/>
    <cellStyle name="Walutowy 3 3 2" xfId="215" xr:uid="{00000000-0005-0000-0000-00000C010000}"/>
    <cellStyle name="Walutowy 3 3 2 2" xfId="275" xr:uid="{00000000-0005-0000-0000-00000D010000}"/>
    <cellStyle name="Walutowy 3 3 3" xfId="276" xr:uid="{00000000-0005-0000-0000-00000E010000}"/>
    <cellStyle name="Walutowy 3 4" xfId="216" xr:uid="{00000000-0005-0000-0000-00000F010000}"/>
    <cellStyle name="Walutowy 3 4 2" xfId="277" xr:uid="{00000000-0005-0000-0000-000010010000}"/>
    <cellStyle name="Walutowy 3 5" xfId="217" xr:uid="{00000000-0005-0000-0000-000011010000}"/>
    <cellStyle name="Walutowy 3 5 2" xfId="278" xr:uid="{00000000-0005-0000-0000-000012010000}"/>
    <cellStyle name="Walutowy 3 6" xfId="218" xr:uid="{00000000-0005-0000-0000-000013010000}"/>
    <cellStyle name="Walutowy 3 6 2" xfId="279" xr:uid="{00000000-0005-0000-0000-000014010000}"/>
    <cellStyle name="Walutowy 3 7" xfId="219" xr:uid="{00000000-0005-0000-0000-000015010000}"/>
    <cellStyle name="Walutowy 3 7 2" xfId="280" xr:uid="{00000000-0005-0000-0000-000016010000}"/>
    <cellStyle name="Walutowy 3 8" xfId="281" xr:uid="{00000000-0005-0000-0000-000017010000}"/>
    <cellStyle name="Walutowy 4" xfId="220" xr:uid="{00000000-0005-0000-0000-000018010000}"/>
    <cellStyle name="Walutowy 4 2" xfId="221" xr:uid="{00000000-0005-0000-0000-000019010000}"/>
    <cellStyle name="Walutowy 4 2 2" xfId="282" xr:uid="{00000000-0005-0000-0000-00001A010000}"/>
    <cellStyle name="Walutowy 4 3" xfId="222" xr:uid="{00000000-0005-0000-0000-00001B010000}"/>
    <cellStyle name="Walutowy 4 3 2" xfId="283" xr:uid="{00000000-0005-0000-0000-00001C010000}"/>
    <cellStyle name="Walutowy 4 4" xfId="223" xr:uid="{00000000-0005-0000-0000-00001D010000}"/>
    <cellStyle name="Walutowy 4 4 2" xfId="284" xr:uid="{00000000-0005-0000-0000-00001E010000}"/>
    <cellStyle name="Walutowy 4 5" xfId="285" xr:uid="{00000000-0005-0000-0000-00001F010000}"/>
    <cellStyle name="Walutowy 5" xfId="224" xr:uid="{00000000-0005-0000-0000-000020010000}"/>
    <cellStyle name="Walutowy 5 2" xfId="225" xr:uid="{00000000-0005-0000-0000-000021010000}"/>
    <cellStyle name="Walutowy 5 2 2" xfId="286" xr:uid="{00000000-0005-0000-0000-000022010000}"/>
    <cellStyle name="Walutowy 5 3" xfId="287" xr:uid="{00000000-0005-0000-0000-000023010000}"/>
    <cellStyle name="Walutowy 6" xfId="226" xr:uid="{00000000-0005-0000-0000-000024010000}"/>
    <cellStyle name="Walutowy 6 2" xfId="288" xr:uid="{00000000-0005-0000-0000-000025010000}"/>
    <cellStyle name="Walutowy 7" xfId="227" xr:uid="{00000000-0005-0000-0000-000026010000}"/>
    <cellStyle name="Walutowy 7 2" xfId="289" xr:uid="{00000000-0005-0000-0000-000027010000}"/>
    <cellStyle name="Walutowy 8" xfId="290" xr:uid="{00000000-0005-0000-0000-000028010000}"/>
    <cellStyle name="Zły" xfId="298" builtinId="27"/>
  </cellStyles>
  <dxfs count="0"/>
  <tableStyles count="0" defaultTableStyle="TableStyleMedium2" defaultPivotStyle="PivotStyleLight16"/>
  <colors>
    <mruColors>
      <color rgb="FFFF99FF"/>
      <color rgb="FF00FF00"/>
      <color rgb="FF99FF99"/>
      <color rgb="FFFFFF99"/>
      <color rgb="FF1D03E1"/>
      <color rgb="FFFF3300"/>
      <color rgb="FF008000"/>
      <color rgb="FFFF7C80"/>
      <color rgb="FF99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A197A-76AE-4885-84FA-EA975E6B5764}">
  <sheetPr>
    <pageSetUpPr fitToPage="1"/>
  </sheetPr>
  <dimension ref="A2:X216"/>
  <sheetViews>
    <sheetView tabSelected="1" view="pageBreakPreview" topLeftCell="A197" zoomScaleNormal="90" zoomScaleSheetLayoutView="100" workbookViewId="0">
      <selection activeCell="D214" sqref="D214"/>
    </sheetView>
  </sheetViews>
  <sheetFormatPr defaultRowHeight="15"/>
  <cols>
    <col min="1" max="1" width="4.140625" bestFit="1" customWidth="1"/>
    <col min="2" max="2" width="66.7109375" customWidth="1"/>
    <col min="3" max="3" width="12.28515625" style="14" customWidth="1"/>
    <col min="4" max="4" width="16.85546875" style="14" customWidth="1"/>
    <col min="5" max="5" width="7.7109375" customWidth="1"/>
    <col min="6" max="6" width="5.5703125" hidden="1" customWidth="1"/>
    <col min="7" max="7" width="9.5703125" hidden="1" customWidth="1"/>
    <col min="8" max="8" width="12.85546875" hidden="1" customWidth="1"/>
    <col min="9" max="9" width="7.140625" hidden="1" customWidth="1"/>
    <col min="10" max="10" width="12.85546875" hidden="1" customWidth="1"/>
    <col min="11" max="11" width="13.7109375" hidden="1" customWidth="1"/>
    <col min="12" max="12" width="10.28515625" hidden="1" customWidth="1"/>
    <col min="13" max="13" width="12" hidden="1" customWidth="1"/>
    <col min="14" max="14" width="17.140625" hidden="1" customWidth="1"/>
    <col min="15" max="15" width="12" hidden="1" customWidth="1"/>
    <col min="16" max="16" width="16.85546875" hidden="1" customWidth="1"/>
    <col min="17" max="17" width="13.5703125" style="56" customWidth="1"/>
    <col min="18" max="18" width="13.42578125" customWidth="1"/>
    <col min="19" max="19" width="17.85546875" customWidth="1"/>
    <col min="20" max="20" width="11.5703125" bestFit="1" customWidth="1"/>
    <col min="21" max="21" width="11.5703125" customWidth="1"/>
    <col min="22" max="22" width="13.5703125" customWidth="1"/>
    <col min="23" max="23" width="16" customWidth="1"/>
  </cols>
  <sheetData>
    <row r="2" spans="1:24" ht="15.75" customHeight="1">
      <c r="A2" s="70" t="s">
        <v>161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57"/>
      <c r="M2" s="58"/>
      <c r="N2" s="59"/>
      <c r="O2" s="58"/>
      <c r="P2" s="59"/>
      <c r="Q2" s="68" t="s">
        <v>228</v>
      </c>
      <c r="R2" s="69"/>
      <c r="S2" s="69"/>
      <c r="T2" s="69"/>
      <c r="U2" s="69"/>
      <c r="V2" s="69"/>
      <c r="W2" s="69"/>
    </row>
    <row r="3" spans="1:24" ht="15.75" customHeight="1">
      <c r="A3" s="60" t="s">
        <v>0</v>
      </c>
      <c r="B3" s="60" t="s">
        <v>5</v>
      </c>
      <c r="C3" s="60" t="s">
        <v>3</v>
      </c>
      <c r="D3" s="60"/>
      <c r="E3" s="60" t="s">
        <v>6</v>
      </c>
      <c r="F3" s="60" t="s">
        <v>7</v>
      </c>
      <c r="G3" s="60" t="s">
        <v>8</v>
      </c>
      <c r="H3" s="60" t="s">
        <v>229</v>
      </c>
      <c r="I3" s="60" t="s">
        <v>9</v>
      </c>
      <c r="J3" s="61" t="s">
        <v>230</v>
      </c>
      <c r="K3" s="60" t="s">
        <v>231</v>
      </c>
      <c r="L3" s="60" t="s">
        <v>165</v>
      </c>
      <c r="M3" s="62" t="s">
        <v>162</v>
      </c>
      <c r="N3" s="62" t="s">
        <v>163</v>
      </c>
      <c r="O3" s="62" t="s">
        <v>164</v>
      </c>
      <c r="P3" s="62" t="s">
        <v>163</v>
      </c>
      <c r="Q3" s="63" t="s">
        <v>7</v>
      </c>
      <c r="R3" s="63" t="s">
        <v>8</v>
      </c>
      <c r="S3" s="63" t="s">
        <v>234</v>
      </c>
      <c r="T3" s="63" t="s">
        <v>232</v>
      </c>
      <c r="U3" s="63" t="s">
        <v>235</v>
      </c>
      <c r="V3" s="63" t="s">
        <v>237</v>
      </c>
      <c r="W3" s="63" t="s">
        <v>236</v>
      </c>
      <c r="X3" s="30"/>
    </row>
    <row r="4" spans="1:24" ht="84">
      <c r="A4" s="60"/>
      <c r="B4" s="60"/>
      <c r="C4" s="64" t="s">
        <v>10</v>
      </c>
      <c r="D4" s="65" t="s">
        <v>11</v>
      </c>
      <c r="E4" s="60"/>
      <c r="F4" s="60"/>
      <c r="G4" s="60"/>
      <c r="H4" s="60"/>
      <c r="I4" s="60"/>
      <c r="J4" s="66"/>
      <c r="K4" s="60"/>
      <c r="L4" s="60"/>
      <c r="M4" s="67"/>
      <c r="N4" s="67"/>
      <c r="O4" s="67"/>
      <c r="P4" s="67"/>
      <c r="Q4" s="63"/>
      <c r="R4" s="63"/>
      <c r="S4" s="63"/>
      <c r="T4" s="63"/>
      <c r="U4" s="63"/>
      <c r="V4" s="63"/>
      <c r="W4" s="63"/>
      <c r="X4" s="30"/>
    </row>
    <row r="5" spans="1:24" ht="15" customHeight="1">
      <c r="A5" s="52">
        <v>1</v>
      </c>
      <c r="B5" s="52">
        <v>2</v>
      </c>
      <c r="C5" s="52">
        <v>3</v>
      </c>
      <c r="D5" s="53">
        <v>4</v>
      </c>
      <c r="E5" s="52">
        <v>5</v>
      </c>
      <c r="F5" s="52">
        <v>6</v>
      </c>
      <c r="G5" s="52">
        <v>7</v>
      </c>
      <c r="H5" s="52">
        <v>8</v>
      </c>
      <c r="I5" s="52">
        <v>9</v>
      </c>
      <c r="J5" s="53">
        <v>10</v>
      </c>
      <c r="K5" s="52">
        <v>11</v>
      </c>
      <c r="L5" s="52">
        <v>12</v>
      </c>
      <c r="M5" s="54">
        <v>13</v>
      </c>
      <c r="N5" s="54">
        <v>14</v>
      </c>
      <c r="O5" s="54">
        <v>15</v>
      </c>
      <c r="P5" s="54">
        <v>16</v>
      </c>
      <c r="Q5" s="55">
        <v>6</v>
      </c>
      <c r="R5" s="55">
        <v>7</v>
      </c>
      <c r="S5" s="55">
        <v>8</v>
      </c>
      <c r="T5" s="55">
        <v>9</v>
      </c>
      <c r="U5" s="55">
        <v>10</v>
      </c>
      <c r="V5" s="55">
        <v>11</v>
      </c>
      <c r="W5" s="55">
        <v>12</v>
      </c>
    </row>
    <row r="6" spans="1:24" ht="30">
      <c r="A6" s="23">
        <v>1</v>
      </c>
      <c r="B6" s="43" t="s">
        <v>188</v>
      </c>
      <c r="C6" s="3"/>
      <c r="D6" s="4"/>
      <c r="E6" s="72" t="s">
        <v>2</v>
      </c>
      <c r="F6" s="71">
        <v>45</v>
      </c>
      <c r="G6" s="73">
        <v>35.450000000000003</v>
      </c>
      <c r="H6" s="73">
        <f>F6*G6</f>
        <v>1595.2500000000002</v>
      </c>
      <c r="I6" s="74">
        <v>0.23</v>
      </c>
      <c r="J6" s="73">
        <f>H6*I6</f>
        <v>366.90750000000008</v>
      </c>
      <c r="K6" s="73">
        <f>H6+J6</f>
        <v>1962.1575000000003</v>
      </c>
      <c r="L6" s="73">
        <f>G6*I6+G6</f>
        <v>43.603500000000004</v>
      </c>
      <c r="M6" s="75">
        <f>4+3+6+2+1+2+2+15+1+2+2+1+3+2</f>
        <v>46</v>
      </c>
      <c r="N6" s="76">
        <f>M6*L6</f>
        <v>2005.7610000000002</v>
      </c>
      <c r="O6" s="75">
        <f>4+6+3+2+1+2+2+15+1+2+2+2+1+3</f>
        <v>46</v>
      </c>
      <c r="P6" s="76">
        <f>O6*L6</f>
        <v>2005.7610000000002</v>
      </c>
      <c r="Q6" s="75">
        <v>55</v>
      </c>
      <c r="R6" s="32"/>
      <c r="S6" s="32">
        <f>Q6*R6</f>
        <v>0</v>
      </c>
      <c r="T6" s="33"/>
      <c r="U6" s="35">
        <f>S6*T6</f>
        <v>0</v>
      </c>
      <c r="V6" s="32">
        <f>R6*T6+R6</f>
        <v>0</v>
      </c>
      <c r="W6" s="32">
        <f>S6+S6*T6</f>
        <v>0</v>
      </c>
    </row>
    <row r="7" spans="1:24">
      <c r="A7" s="23">
        <v>2</v>
      </c>
      <c r="B7" s="43" t="s">
        <v>12</v>
      </c>
      <c r="C7" s="3"/>
      <c r="D7" s="5"/>
      <c r="E7" s="72" t="s">
        <v>2</v>
      </c>
      <c r="F7" s="71">
        <v>45</v>
      </c>
      <c r="G7" s="73">
        <v>34.65</v>
      </c>
      <c r="H7" s="73">
        <f t="shared" ref="H7:H62" si="0">F7*G7</f>
        <v>1559.25</v>
      </c>
      <c r="I7" s="74">
        <v>0.23</v>
      </c>
      <c r="J7" s="73">
        <f t="shared" ref="J7:J62" si="1">H7*I7</f>
        <v>358.6275</v>
      </c>
      <c r="K7" s="73">
        <f t="shared" ref="K7:K62" si="2">H7+J7</f>
        <v>1917.8775000000001</v>
      </c>
      <c r="L7" s="73">
        <f t="shared" ref="L7:L62" si="3">G7*I7+G7</f>
        <v>42.619500000000002</v>
      </c>
      <c r="M7" s="75">
        <f>4+1+1+5+3+1+6+2+14+2+1+1+2+1+2+2+1+3+1</f>
        <v>53</v>
      </c>
      <c r="N7" s="76">
        <f t="shared" ref="N7:N62" si="4">M7*L7</f>
        <v>2258.8335000000002</v>
      </c>
      <c r="O7" s="75">
        <f>4+5+3+1+1+1+6+2+2+14+1+2+1+1+2+2+3+1+1</f>
        <v>53</v>
      </c>
      <c r="P7" s="76">
        <f t="shared" ref="P7:P62" si="5">O7*L7</f>
        <v>2258.8335000000002</v>
      </c>
      <c r="Q7" s="75">
        <v>65</v>
      </c>
      <c r="R7" s="32"/>
      <c r="S7" s="32">
        <f t="shared" ref="S7:S62" si="6">Q7*R7</f>
        <v>0</v>
      </c>
      <c r="T7" s="33"/>
      <c r="U7" s="35">
        <f t="shared" ref="U7:U62" si="7">S7*T7</f>
        <v>0</v>
      </c>
      <c r="V7" s="32">
        <f t="shared" ref="V7:V62" si="8">R7+T7</f>
        <v>0</v>
      </c>
      <c r="W7" s="32">
        <f t="shared" ref="W7:W62" si="9">S7+S7*T7</f>
        <v>0</v>
      </c>
    </row>
    <row r="8" spans="1:24">
      <c r="A8" s="23">
        <v>3</v>
      </c>
      <c r="B8" s="43" t="s">
        <v>13</v>
      </c>
      <c r="C8" s="3"/>
      <c r="D8" s="6"/>
      <c r="E8" s="72" t="s">
        <v>2</v>
      </c>
      <c r="F8" s="71">
        <v>6</v>
      </c>
      <c r="G8" s="73">
        <v>8.9</v>
      </c>
      <c r="H8" s="73">
        <f t="shared" si="0"/>
        <v>53.400000000000006</v>
      </c>
      <c r="I8" s="74">
        <v>0.23</v>
      </c>
      <c r="J8" s="73">
        <f t="shared" si="1"/>
        <v>12.282000000000002</v>
      </c>
      <c r="K8" s="73">
        <f t="shared" si="2"/>
        <v>65.682000000000002</v>
      </c>
      <c r="L8" s="73">
        <f t="shared" si="3"/>
        <v>10.947000000000001</v>
      </c>
      <c r="M8" s="75"/>
      <c r="N8" s="76">
        <f t="shared" si="4"/>
        <v>0</v>
      </c>
      <c r="O8" s="75"/>
      <c r="P8" s="76">
        <f t="shared" si="5"/>
        <v>0</v>
      </c>
      <c r="Q8" s="75">
        <v>2</v>
      </c>
      <c r="R8" s="32"/>
      <c r="S8" s="32">
        <f t="shared" si="6"/>
        <v>0</v>
      </c>
      <c r="T8" s="33"/>
      <c r="U8" s="35">
        <f t="shared" si="7"/>
        <v>0</v>
      </c>
      <c r="V8" s="32">
        <f t="shared" si="8"/>
        <v>0</v>
      </c>
      <c r="W8" s="32">
        <f t="shared" si="9"/>
        <v>0</v>
      </c>
    </row>
    <row r="9" spans="1:24">
      <c r="A9" s="23">
        <v>4</v>
      </c>
      <c r="B9" s="43" t="s">
        <v>14</v>
      </c>
      <c r="C9" s="3"/>
      <c r="D9" s="2"/>
      <c r="E9" s="72" t="s">
        <v>2</v>
      </c>
      <c r="F9" s="71">
        <v>80</v>
      </c>
      <c r="G9" s="73">
        <v>4.5999999999999996</v>
      </c>
      <c r="H9" s="73">
        <f t="shared" si="0"/>
        <v>368</v>
      </c>
      <c r="I9" s="74">
        <v>0.23</v>
      </c>
      <c r="J9" s="73">
        <f t="shared" si="1"/>
        <v>84.64</v>
      </c>
      <c r="K9" s="73">
        <f t="shared" si="2"/>
        <v>452.64</v>
      </c>
      <c r="L9" s="73">
        <f t="shared" si="3"/>
        <v>5.6579999999999995</v>
      </c>
      <c r="M9" s="75">
        <f>10+5+10+15+5+10+3+2</f>
        <v>60</v>
      </c>
      <c r="N9" s="76">
        <f t="shared" si="4"/>
        <v>339.47999999999996</v>
      </c>
      <c r="O9" s="75">
        <f>10+5+10+15+5+10+3+2</f>
        <v>60</v>
      </c>
      <c r="P9" s="76">
        <f t="shared" si="5"/>
        <v>339.47999999999996</v>
      </c>
      <c r="Q9" s="75">
        <v>80</v>
      </c>
      <c r="R9" s="32"/>
      <c r="S9" s="32">
        <f t="shared" si="6"/>
        <v>0</v>
      </c>
      <c r="T9" s="33"/>
      <c r="U9" s="35">
        <f t="shared" si="7"/>
        <v>0</v>
      </c>
      <c r="V9" s="32">
        <f t="shared" si="8"/>
        <v>0</v>
      </c>
      <c r="W9" s="32">
        <f t="shared" si="9"/>
        <v>0</v>
      </c>
    </row>
    <row r="10" spans="1:24">
      <c r="A10" s="23">
        <v>5</v>
      </c>
      <c r="B10" s="43" t="s">
        <v>15</v>
      </c>
      <c r="C10" s="3"/>
      <c r="D10" s="7"/>
      <c r="E10" s="72" t="s">
        <v>2</v>
      </c>
      <c r="F10" s="71">
        <v>260</v>
      </c>
      <c r="G10" s="73">
        <v>3.35</v>
      </c>
      <c r="H10" s="73">
        <f t="shared" si="0"/>
        <v>871</v>
      </c>
      <c r="I10" s="74">
        <v>0.23</v>
      </c>
      <c r="J10" s="73">
        <f t="shared" si="1"/>
        <v>200.33</v>
      </c>
      <c r="K10" s="73">
        <f t="shared" si="2"/>
        <v>1071.33</v>
      </c>
      <c r="L10" s="73">
        <f t="shared" si="3"/>
        <v>4.1204999999999998</v>
      </c>
      <c r="M10" s="75">
        <f>5+2+1+1+5+10+5+5+15+2+5+10+2+2+40+4+5+5+6+3+10+6+5+3+15+3+10+1+4+6+15+5+4+5+2+4+12+4+5+3+10+5+4+10+40+2</f>
        <v>326</v>
      </c>
      <c r="N10" s="76">
        <f t="shared" si="4"/>
        <v>1343.2829999999999</v>
      </c>
      <c r="O10" s="75">
        <f>5+1+2+5+10+5+15+1+5+2+10+5+2+4+2+5+40+5+6+6+3+10+3+3+15+5+10+1+4+15+6+5+4+5+2+4+4+10+3+5+12+5+4+40</f>
        <v>314</v>
      </c>
      <c r="P10" s="76">
        <f t="shared" si="5"/>
        <v>1293.837</v>
      </c>
      <c r="Q10" s="75">
        <v>345</v>
      </c>
      <c r="R10" s="32"/>
      <c r="S10" s="32">
        <f t="shared" si="6"/>
        <v>0</v>
      </c>
      <c r="T10" s="33"/>
      <c r="U10" s="35">
        <f t="shared" si="7"/>
        <v>0</v>
      </c>
      <c r="V10" s="32">
        <f t="shared" si="8"/>
        <v>0</v>
      </c>
      <c r="W10" s="32">
        <f t="shared" si="9"/>
        <v>0</v>
      </c>
    </row>
    <row r="11" spans="1:24">
      <c r="A11" s="23">
        <v>6</v>
      </c>
      <c r="B11" s="43" t="s">
        <v>16</v>
      </c>
      <c r="C11" s="3"/>
      <c r="D11" s="8"/>
      <c r="E11" s="72" t="s">
        <v>2</v>
      </c>
      <c r="F11" s="71">
        <v>40</v>
      </c>
      <c r="G11" s="73">
        <v>5.7</v>
      </c>
      <c r="H11" s="73">
        <f t="shared" si="0"/>
        <v>228</v>
      </c>
      <c r="I11" s="74">
        <v>0.23</v>
      </c>
      <c r="J11" s="73">
        <f t="shared" si="1"/>
        <v>52.440000000000005</v>
      </c>
      <c r="K11" s="73">
        <f t="shared" si="2"/>
        <v>280.44</v>
      </c>
      <c r="L11" s="73">
        <f t="shared" si="3"/>
        <v>7.0110000000000001</v>
      </c>
      <c r="M11" s="75">
        <f>1+4+5+2+2+1+4</f>
        <v>19</v>
      </c>
      <c r="N11" s="76">
        <f t="shared" si="4"/>
        <v>133.209</v>
      </c>
      <c r="O11" s="75">
        <f>1+4+2+5+2+1+4</f>
        <v>19</v>
      </c>
      <c r="P11" s="76">
        <f t="shared" si="5"/>
        <v>133.209</v>
      </c>
      <c r="Q11" s="75">
        <v>25</v>
      </c>
      <c r="R11" s="32"/>
      <c r="S11" s="32">
        <f t="shared" si="6"/>
        <v>0</v>
      </c>
      <c r="T11" s="33"/>
      <c r="U11" s="35">
        <f t="shared" si="7"/>
        <v>0</v>
      </c>
      <c r="V11" s="32">
        <f t="shared" si="8"/>
        <v>0</v>
      </c>
      <c r="W11" s="32">
        <f t="shared" si="9"/>
        <v>0</v>
      </c>
    </row>
    <row r="12" spans="1:24">
      <c r="A12" s="23">
        <v>7</v>
      </c>
      <c r="B12" s="43" t="s">
        <v>17</v>
      </c>
      <c r="C12" s="3"/>
      <c r="D12" s="2"/>
      <c r="E12" s="72" t="s">
        <v>2</v>
      </c>
      <c r="F12" s="71">
        <v>20</v>
      </c>
      <c r="G12" s="73">
        <v>7.1</v>
      </c>
      <c r="H12" s="73">
        <f t="shared" si="0"/>
        <v>142</v>
      </c>
      <c r="I12" s="74">
        <v>0.23</v>
      </c>
      <c r="J12" s="73">
        <f t="shared" si="1"/>
        <v>32.660000000000004</v>
      </c>
      <c r="K12" s="73">
        <f t="shared" si="2"/>
        <v>174.66</v>
      </c>
      <c r="L12" s="73">
        <f t="shared" si="3"/>
        <v>8.7330000000000005</v>
      </c>
      <c r="M12" s="75">
        <f>2+2+2+3+1+2</f>
        <v>12</v>
      </c>
      <c r="N12" s="76">
        <f t="shared" si="4"/>
        <v>104.79600000000001</v>
      </c>
      <c r="O12" s="75">
        <f>2+2+2+3+1+2</f>
        <v>12</v>
      </c>
      <c r="P12" s="76">
        <f t="shared" si="5"/>
        <v>104.79600000000001</v>
      </c>
      <c r="Q12" s="75">
        <v>20</v>
      </c>
      <c r="R12" s="32"/>
      <c r="S12" s="32">
        <f t="shared" si="6"/>
        <v>0</v>
      </c>
      <c r="T12" s="33"/>
      <c r="U12" s="35">
        <f t="shared" si="7"/>
        <v>0</v>
      </c>
      <c r="V12" s="32">
        <f t="shared" si="8"/>
        <v>0</v>
      </c>
      <c r="W12" s="32">
        <f t="shared" si="9"/>
        <v>0</v>
      </c>
    </row>
    <row r="13" spans="1:24">
      <c r="A13" s="23">
        <v>8</v>
      </c>
      <c r="B13" s="43" t="s">
        <v>18</v>
      </c>
      <c r="C13" s="3"/>
      <c r="D13" s="4"/>
      <c r="E13" s="72" t="s">
        <v>2</v>
      </c>
      <c r="F13" s="71">
        <v>320</v>
      </c>
      <c r="G13" s="73">
        <v>3.35</v>
      </c>
      <c r="H13" s="73">
        <f t="shared" si="0"/>
        <v>1072</v>
      </c>
      <c r="I13" s="74">
        <v>0.23</v>
      </c>
      <c r="J13" s="73">
        <f t="shared" si="1"/>
        <v>246.56</v>
      </c>
      <c r="K13" s="73">
        <f t="shared" si="2"/>
        <v>1318.56</v>
      </c>
      <c r="L13" s="73">
        <f t="shared" si="3"/>
        <v>4.1204999999999998</v>
      </c>
      <c r="M13" s="75">
        <f>20+4+1+1+15+10+10+5+5+12+10+2+25+20+8+2+2+6+10+5+40+3+3+10+2+7+10+3+15+3+4+10+10+1+2+6+15+5+4+2+6+2+5+11+3+5+10+20+5+5+10+40+12</f>
        <v>462</v>
      </c>
      <c r="N13" s="76">
        <f t="shared" si="4"/>
        <v>1903.6709999999998</v>
      </c>
      <c r="O13" s="75">
        <f>20+4+1+1+15+10+10+5+5+12+10+2+25+20+8+2+6+2+10+5+3+40+7+3+10+3+3+15+4+10+1+2+15+6+5+4+2+6+3+5+2+20+10+11+5+5+12+5+40</f>
        <v>430</v>
      </c>
      <c r="P13" s="76">
        <f t="shared" si="5"/>
        <v>1771.8149999999998</v>
      </c>
      <c r="Q13" s="75">
        <v>500</v>
      </c>
      <c r="R13" s="32"/>
      <c r="S13" s="32">
        <f t="shared" si="6"/>
        <v>0</v>
      </c>
      <c r="T13" s="33"/>
      <c r="U13" s="35">
        <f t="shared" si="7"/>
        <v>0</v>
      </c>
      <c r="V13" s="32">
        <f t="shared" si="8"/>
        <v>0</v>
      </c>
      <c r="W13" s="32">
        <f t="shared" si="9"/>
        <v>0</v>
      </c>
    </row>
    <row r="14" spans="1:24">
      <c r="A14" s="23">
        <v>9</v>
      </c>
      <c r="B14" s="43" t="s">
        <v>19</v>
      </c>
      <c r="C14" s="9"/>
      <c r="D14" s="9"/>
      <c r="E14" s="72" t="s">
        <v>2</v>
      </c>
      <c r="F14" s="71">
        <v>65</v>
      </c>
      <c r="G14" s="73">
        <v>1.4</v>
      </c>
      <c r="H14" s="73">
        <f t="shared" si="0"/>
        <v>91</v>
      </c>
      <c r="I14" s="74">
        <v>0.23</v>
      </c>
      <c r="J14" s="73">
        <f t="shared" si="1"/>
        <v>20.93</v>
      </c>
      <c r="K14" s="73">
        <f t="shared" si="2"/>
        <v>111.93</v>
      </c>
      <c r="L14" s="73">
        <f t="shared" si="3"/>
        <v>1.722</v>
      </c>
      <c r="M14" s="75">
        <f>10+5+10+8+2+6+5+2+1+5</f>
        <v>54</v>
      </c>
      <c r="N14" s="76">
        <f t="shared" si="4"/>
        <v>92.988</v>
      </c>
      <c r="O14" s="75">
        <f>10+5+10+8+2+6+5+1+2+5</f>
        <v>54</v>
      </c>
      <c r="P14" s="76">
        <f t="shared" si="5"/>
        <v>92.988</v>
      </c>
      <c r="Q14" s="75">
        <v>65</v>
      </c>
      <c r="R14" s="32"/>
      <c r="S14" s="32">
        <f t="shared" si="6"/>
        <v>0</v>
      </c>
      <c r="T14" s="33"/>
      <c r="U14" s="35">
        <f t="shared" si="7"/>
        <v>0</v>
      </c>
      <c r="V14" s="32">
        <f t="shared" si="8"/>
        <v>0</v>
      </c>
      <c r="W14" s="32">
        <f t="shared" si="9"/>
        <v>0</v>
      </c>
    </row>
    <row r="15" spans="1:24">
      <c r="A15" s="23">
        <v>10</v>
      </c>
      <c r="B15" s="43" t="s">
        <v>20</v>
      </c>
      <c r="C15" s="9"/>
      <c r="D15" s="9"/>
      <c r="E15" s="72" t="s">
        <v>2</v>
      </c>
      <c r="F15" s="71">
        <v>110</v>
      </c>
      <c r="G15" s="73">
        <v>1.3</v>
      </c>
      <c r="H15" s="73">
        <f t="shared" si="0"/>
        <v>143</v>
      </c>
      <c r="I15" s="74">
        <v>0.23</v>
      </c>
      <c r="J15" s="73">
        <f t="shared" si="1"/>
        <v>32.89</v>
      </c>
      <c r="K15" s="73">
        <f t="shared" si="2"/>
        <v>175.89</v>
      </c>
      <c r="L15" s="73">
        <f t="shared" si="3"/>
        <v>1.5990000000000002</v>
      </c>
      <c r="M15" s="75">
        <f>10+10+12+5+10+2+16+1+20+1+15+2+6+5+40+2+1+20</f>
        <v>178</v>
      </c>
      <c r="N15" s="76">
        <f t="shared" si="4"/>
        <v>284.62200000000001</v>
      </c>
      <c r="O15" s="75">
        <f>12+10+10+10+5+2+16+1+1+20+15+2+6+5+40+1+2+20</f>
        <v>178</v>
      </c>
      <c r="P15" s="76">
        <f t="shared" si="5"/>
        <v>284.62200000000001</v>
      </c>
      <c r="Q15" s="75">
        <v>200</v>
      </c>
      <c r="R15" s="32"/>
      <c r="S15" s="32">
        <f t="shared" si="6"/>
        <v>0</v>
      </c>
      <c r="T15" s="33"/>
      <c r="U15" s="35">
        <f t="shared" si="7"/>
        <v>0</v>
      </c>
      <c r="V15" s="32">
        <f t="shared" si="8"/>
        <v>0</v>
      </c>
      <c r="W15" s="32">
        <f t="shared" si="9"/>
        <v>0</v>
      </c>
    </row>
    <row r="16" spans="1:24" ht="30">
      <c r="A16" s="23">
        <v>11</v>
      </c>
      <c r="B16" s="44" t="s">
        <v>21</v>
      </c>
      <c r="C16" s="6"/>
      <c r="D16" s="6"/>
      <c r="E16" s="72" t="s">
        <v>1</v>
      </c>
      <c r="F16" s="71">
        <v>30</v>
      </c>
      <c r="G16" s="73">
        <v>2.2000000000000002</v>
      </c>
      <c r="H16" s="73">
        <f t="shared" si="0"/>
        <v>66</v>
      </c>
      <c r="I16" s="74">
        <v>0.23</v>
      </c>
      <c r="J16" s="73">
        <f t="shared" si="1"/>
        <v>15.180000000000001</v>
      </c>
      <c r="K16" s="73">
        <f t="shared" si="2"/>
        <v>81.180000000000007</v>
      </c>
      <c r="L16" s="73">
        <f t="shared" si="3"/>
        <v>2.7060000000000004</v>
      </c>
      <c r="M16" s="75">
        <f>10+4+10+2+10+6+2+5+4+1+5</f>
        <v>59</v>
      </c>
      <c r="N16" s="76">
        <f t="shared" si="4"/>
        <v>159.65400000000002</v>
      </c>
      <c r="O16" s="75">
        <f>10+4+10+2+10+6+2+5+1+4+5</f>
        <v>59</v>
      </c>
      <c r="P16" s="76">
        <f t="shared" si="5"/>
        <v>159.65400000000002</v>
      </c>
      <c r="Q16" s="75">
        <v>70</v>
      </c>
      <c r="R16" s="32"/>
      <c r="S16" s="32">
        <f t="shared" si="6"/>
        <v>0</v>
      </c>
      <c r="T16" s="33"/>
      <c r="U16" s="35">
        <f t="shared" si="7"/>
        <v>0</v>
      </c>
      <c r="V16" s="32">
        <f t="shared" si="8"/>
        <v>0</v>
      </c>
      <c r="W16" s="32">
        <f t="shared" si="9"/>
        <v>0</v>
      </c>
    </row>
    <row r="17" spans="1:23" ht="45">
      <c r="A17" s="23">
        <v>12</v>
      </c>
      <c r="B17" s="44" t="s">
        <v>189</v>
      </c>
      <c r="C17" s="3"/>
      <c r="D17" s="4"/>
      <c r="E17" s="72" t="s">
        <v>2</v>
      </c>
      <c r="F17" s="71">
        <v>3</v>
      </c>
      <c r="G17" s="73">
        <v>19.5</v>
      </c>
      <c r="H17" s="73">
        <f t="shared" si="0"/>
        <v>58.5</v>
      </c>
      <c r="I17" s="74">
        <v>0.23</v>
      </c>
      <c r="J17" s="73">
        <f t="shared" si="1"/>
        <v>13.455</v>
      </c>
      <c r="K17" s="73">
        <f t="shared" si="2"/>
        <v>71.954999999999998</v>
      </c>
      <c r="L17" s="73">
        <f t="shared" si="3"/>
        <v>23.984999999999999</v>
      </c>
      <c r="M17" s="75">
        <f>1+2+1+2+1</f>
        <v>7</v>
      </c>
      <c r="N17" s="76">
        <f t="shared" si="4"/>
        <v>167.89499999999998</v>
      </c>
      <c r="O17" s="75">
        <f>1+2+1+2+1</f>
        <v>7</v>
      </c>
      <c r="P17" s="76">
        <f t="shared" si="5"/>
        <v>167.89499999999998</v>
      </c>
      <c r="Q17" s="75">
        <v>10</v>
      </c>
      <c r="R17" s="32"/>
      <c r="S17" s="32">
        <f t="shared" si="6"/>
        <v>0</v>
      </c>
      <c r="T17" s="33"/>
      <c r="U17" s="35">
        <f t="shared" si="7"/>
        <v>0</v>
      </c>
      <c r="V17" s="32">
        <f t="shared" si="8"/>
        <v>0</v>
      </c>
      <c r="W17" s="32">
        <f t="shared" si="9"/>
        <v>0</v>
      </c>
    </row>
    <row r="18" spans="1:23" ht="45">
      <c r="A18" s="23">
        <v>13</v>
      </c>
      <c r="B18" s="44" t="s">
        <v>190</v>
      </c>
      <c r="C18" s="3"/>
      <c r="D18" s="4"/>
      <c r="E18" s="72" t="s">
        <v>2</v>
      </c>
      <c r="F18" s="71">
        <v>3</v>
      </c>
      <c r="G18" s="73">
        <v>19.5</v>
      </c>
      <c r="H18" s="73">
        <f t="shared" si="0"/>
        <v>58.5</v>
      </c>
      <c r="I18" s="74">
        <v>0.23</v>
      </c>
      <c r="J18" s="73">
        <f t="shared" si="1"/>
        <v>13.455</v>
      </c>
      <c r="K18" s="73">
        <f t="shared" si="2"/>
        <v>71.954999999999998</v>
      </c>
      <c r="L18" s="73">
        <f t="shared" si="3"/>
        <v>23.984999999999999</v>
      </c>
      <c r="M18" s="75">
        <f>1+2+1</f>
        <v>4</v>
      </c>
      <c r="N18" s="76">
        <f t="shared" si="4"/>
        <v>95.94</v>
      </c>
      <c r="O18" s="75">
        <f>1+2+1</f>
        <v>4</v>
      </c>
      <c r="P18" s="76">
        <f t="shared" si="5"/>
        <v>95.94</v>
      </c>
      <c r="Q18" s="75">
        <v>5</v>
      </c>
      <c r="R18" s="32"/>
      <c r="S18" s="32">
        <f t="shared" si="6"/>
        <v>0</v>
      </c>
      <c r="T18" s="33"/>
      <c r="U18" s="35">
        <f t="shared" si="7"/>
        <v>0</v>
      </c>
      <c r="V18" s="32">
        <f t="shared" si="8"/>
        <v>0</v>
      </c>
      <c r="W18" s="32">
        <f t="shared" si="9"/>
        <v>0</v>
      </c>
    </row>
    <row r="19" spans="1:23" ht="45">
      <c r="A19" s="23">
        <v>14</v>
      </c>
      <c r="B19" s="44" t="s">
        <v>191</v>
      </c>
      <c r="C19" s="3"/>
      <c r="D19" s="4"/>
      <c r="E19" s="72" t="s">
        <v>2</v>
      </c>
      <c r="F19" s="71">
        <v>5</v>
      </c>
      <c r="G19" s="73">
        <v>22.42</v>
      </c>
      <c r="H19" s="73">
        <f t="shared" si="0"/>
        <v>112.10000000000001</v>
      </c>
      <c r="I19" s="74">
        <v>0.23</v>
      </c>
      <c r="J19" s="73">
        <f t="shared" si="1"/>
        <v>25.783000000000005</v>
      </c>
      <c r="K19" s="73">
        <f t="shared" si="2"/>
        <v>137.88300000000001</v>
      </c>
      <c r="L19" s="73">
        <f t="shared" si="3"/>
        <v>27.576600000000003</v>
      </c>
      <c r="M19" s="75">
        <f>1+1+1+2+1</f>
        <v>6</v>
      </c>
      <c r="N19" s="76">
        <f t="shared" si="4"/>
        <v>165.45960000000002</v>
      </c>
      <c r="O19" s="75">
        <f>1+1+1+2+1</f>
        <v>6</v>
      </c>
      <c r="P19" s="76">
        <f t="shared" si="5"/>
        <v>165.45960000000002</v>
      </c>
      <c r="Q19" s="75">
        <v>7</v>
      </c>
      <c r="R19" s="32"/>
      <c r="S19" s="32">
        <f t="shared" si="6"/>
        <v>0</v>
      </c>
      <c r="T19" s="33"/>
      <c r="U19" s="35">
        <f t="shared" si="7"/>
        <v>0</v>
      </c>
      <c r="V19" s="32">
        <f t="shared" si="8"/>
        <v>0</v>
      </c>
      <c r="W19" s="32">
        <f t="shared" si="9"/>
        <v>0</v>
      </c>
    </row>
    <row r="20" spans="1:23" ht="45">
      <c r="A20" s="23">
        <v>15</v>
      </c>
      <c r="B20" s="44" t="s">
        <v>192</v>
      </c>
      <c r="C20" s="3"/>
      <c r="D20" s="4"/>
      <c r="E20" s="72" t="s">
        <v>2</v>
      </c>
      <c r="F20" s="71">
        <v>3</v>
      </c>
      <c r="G20" s="73">
        <v>19.5</v>
      </c>
      <c r="H20" s="73">
        <f t="shared" si="0"/>
        <v>58.5</v>
      </c>
      <c r="I20" s="74">
        <v>0.23</v>
      </c>
      <c r="J20" s="73">
        <f t="shared" si="1"/>
        <v>13.455</v>
      </c>
      <c r="K20" s="73">
        <f t="shared" si="2"/>
        <v>71.954999999999998</v>
      </c>
      <c r="L20" s="73">
        <f t="shared" si="3"/>
        <v>23.984999999999999</v>
      </c>
      <c r="M20" s="75">
        <f>1+2+1</f>
        <v>4</v>
      </c>
      <c r="N20" s="76">
        <f t="shared" si="4"/>
        <v>95.94</v>
      </c>
      <c r="O20" s="75">
        <f>1+2+1</f>
        <v>4</v>
      </c>
      <c r="P20" s="76">
        <f t="shared" si="5"/>
        <v>95.94</v>
      </c>
      <c r="Q20" s="75">
        <v>5</v>
      </c>
      <c r="R20" s="32"/>
      <c r="S20" s="32">
        <f t="shared" si="6"/>
        <v>0</v>
      </c>
      <c r="T20" s="33"/>
      <c r="U20" s="35">
        <f t="shared" si="7"/>
        <v>0</v>
      </c>
      <c r="V20" s="32">
        <f t="shared" si="8"/>
        <v>0</v>
      </c>
      <c r="W20" s="32">
        <f t="shared" si="9"/>
        <v>0</v>
      </c>
    </row>
    <row r="21" spans="1:23" ht="45">
      <c r="A21" s="23">
        <v>16</v>
      </c>
      <c r="B21" s="44" t="s">
        <v>193</v>
      </c>
      <c r="C21" s="3"/>
      <c r="D21" s="4"/>
      <c r="E21" s="72" t="s">
        <v>2</v>
      </c>
      <c r="F21" s="71">
        <v>3</v>
      </c>
      <c r="G21" s="73">
        <v>19.5</v>
      </c>
      <c r="H21" s="73">
        <f t="shared" si="0"/>
        <v>58.5</v>
      </c>
      <c r="I21" s="74">
        <v>0.23</v>
      </c>
      <c r="J21" s="73">
        <f t="shared" si="1"/>
        <v>13.455</v>
      </c>
      <c r="K21" s="73">
        <f t="shared" si="2"/>
        <v>71.954999999999998</v>
      </c>
      <c r="L21" s="73">
        <f t="shared" si="3"/>
        <v>23.984999999999999</v>
      </c>
      <c r="M21" s="75">
        <f>4+2+1+3+3+2+5+1</f>
        <v>21</v>
      </c>
      <c r="N21" s="76">
        <f t="shared" si="4"/>
        <v>503.685</v>
      </c>
      <c r="O21" s="75">
        <f>4+2+1+3+3+2+5+1</f>
        <v>21</v>
      </c>
      <c r="P21" s="76">
        <f t="shared" si="5"/>
        <v>503.685</v>
      </c>
      <c r="Q21" s="75">
        <v>25</v>
      </c>
      <c r="R21" s="32"/>
      <c r="S21" s="32">
        <f t="shared" si="6"/>
        <v>0</v>
      </c>
      <c r="T21" s="33"/>
      <c r="U21" s="35">
        <f t="shared" si="7"/>
        <v>0</v>
      </c>
      <c r="V21" s="32">
        <f t="shared" si="8"/>
        <v>0</v>
      </c>
      <c r="W21" s="32">
        <f t="shared" si="9"/>
        <v>0</v>
      </c>
    </row>
    <row r="22" spans="1:23" ht="45">
      <c r="A22" s="23">
        <v>17</v>
      </c>
      <c r="B22" s="44" t="s">
        <v>194</v>
      </c>
      <c r="C22" s="3"/>
      <c r="D22" s="4"/>
      <c r="E22" s="72" t="s">
        <v>2</v>
      </c>
      <c r="F22" s="71">
        <v>2</v>
      </c>
      <c r="G22" s="73">
        <v>22.42</v>
      </c>
      <c r="H22" s="73">
        <f t="shared" si="0"/>
        <v>44.84</v>
      </c>
      <c r="I22" s="74">
        <v>0.23</v>
      </c>
      <c r="J22" s="73">
        <f t="shared" si="1"/>
        <v>10.313200000000002</v>
      </c>
      <c r="K22" s="73">
        <f t="shared" si="2"/>
        <v>55.153200000000005</v>
      </c>
      <c r="L22" s="73">
        <f t="shared" si="3"/>
        <v>27.576600000000003</v>
      </c>
      <c r="M22" s="75">
        <f>1+2+1</f>
        <v>4</v>
      </c>
      <c r="N22" s="76">
        <f t="shared" si="4"/>
        <v>110.30640000000001</v>
      </c>
      <c r="O22" s="75">
        <f>1+2+1</f>
        <v>4</v>
      </c>
      <c r="P22" s="76">
        <f t="shared" si="5"/>
        <v>110.30640000000001</v>
      </c>
      <c r="Q22" s="75">
        <v>5</v>
      </c>
      <c r="R22" s="32"/>
      <c r="S22" s="32">
        <f t="shared" si="6"/>
        <v>0</v>
      </c>
      <c r="T22" s="33"/>
      <c r="U22" s="35">
        <f t="shared" si="7"/>
        <v>0</v>
      </c>
      <c r="V22" s="32">
        <f t="shared" si="8"/>
        <v>0</v>
      </c>
      <c r="W22" s="32">
        <f t="shared" si="9"/>
        <v>0</v>
      </c>
    </row>
    <row r="23" spans="1:23" ht="45">
      <c r="A23" s="23">
        <v>18</v>
      </c>
      <c r="B23" s="44" t="s">
        <v>195</v>
      </c>
      <c r="C23" s="3"/>
      <c r="D23" s="4"/>
      <c r="E23" s="72" t="s">
        <v>2</v>
      </c>
      <c r="F23" s="71">
        <v>55</v>
      </c>
      <c r="G23" s="73">
        <v>0.93</v>
      </c>
      <c r="H23" s="73">
        <f t="shared" si="0"/>
        <v>51.150000000000006</v>
      </c>
      <c r="I23" s="74">
        <v>0.23</v>
      </c>
      <c r="J23" s="73">
        <f t="shared" si="1"/>
        <v>11.764500000000002</v>
      </c>
      <c r="K23" s="73">
        <f t="shared" si="2"/>
        <v>62.914500000000004</v>
      </c>
      <c r="L23" s="73">
        <f t="shared" si="3"/>
        <v>1.1439000000000001</v>
      </c>
      <c r="M23" s="75">
        <f>10+2+4+6+7+6+2+5+2+3+5+3+1</f>
        <v>56</v>
      </c>
      <c r="N23" s="76">
        <f t="shared" si="4"/>
        <v>64.058400000000006</v>
      </c>
      <c r="O23" s="75">
        <f>10+2+4+6+7+6+2+5+2+3+5+3+1</f>
        <v>56</v>
      </c>
      <c r="P23" s="76">
        <f t="shared" si="5"/>
        <v>64.058400000000006</v>
      </c>
      <c r="Q23" s="75">
        <v>60</v>
      </c>
      <c r="R23" s="32"/>
      <c r="S23" s="32">
        <f t="shared" si="6"/>
        <v>0</v>
      </c>
      <c r="T23" s="33"/>
      <c r="U23" s="35">
        <f t="shared" si="7"/>
        <v>0</v>
      </c>
      <c r="V23" s="32">
        <f t="shared" si="8"/>
        <v>0</v>
      </c>
      <c r="W23" s="32">
        <f t="shared" si="9"/>
        <v>0</v>
      </c>
    </row>
    <row r="24" spans="1:23" ht="45">
      <c r="A24" s="23">
        <v>19</v>
      </c>
      <c r="B24" s="44" t="s">
        <v>196</v>
      </c>
      <c r="C24" s="3"/>
      <c r="D24" s="4"/>
      <c r="E24" s="72" t="s">
        <v>22</v>
      </c>
      <c r="F24" s="71">
        <v>130</v>
      </c>
      <c r="G24" s="73">
        <v>0.6</v>
      </c>
      <c r="H24" s="73">
        <f t="shared" si="0"/>
        <v>78</v>
      </c>
      <c r="I24" s="74">
        <v>0.23</v>
      </c>
      <c r="J24" s="73">
        <f t="shared" si="1"/>
        <v>17.940000000000001</v>
      </c>
      <c r="K24" s="73">
        <f t="shared" si="2"/>
        <v>95.94</v>
      </c>
      <c r="L24" s="73">
        <f t="shared" si="3"/>
        <v>0.73799999999999999</v>
      </c>
      <c r="M24" s="75">
        <f>10+10+1+5+3+10+2+4+4+3+10+3+1</f>
        <v>66</v>
      </c>
      <c r="N24" s="76">
        <f t="shared" si="4"/>
        <v>48.707999999999998</v>
      </c>
      <c r="O24" s="75">
        <f>10+10+1+5+10+3+2+4+4+3+10+3+1</f>
        <v>66</v>
      </c>
      <c r="P24" s="76">
        <f t="shared" si="5"/>
        <v>48.707999999999998</v>
      </c>
      <c r="Q24" s="75">
        <v>70</v>
      </c>
      <c r="R24" s="32"/>
      <c r="S24" s="32">
        <f t="shared" si="6"/>
        <v>0</v>
      </c>
      <c r="T24" s="33"/>
      <c r="U24" s="35">
        <f t="shared" si="7"/>
        <v>0</v>
      </c>
      <c r="V24" s="32">
        <f t="shared" si="8"/>
        <v>0</v>
      </c>
      <c r="W24" s="32">
        <f t="shared" si="9"/>
        <v>0</v>
      </c>
    </row>
    <row r="25" spans="1:23" ht="30">
      <c r="A25" s="23">
        <v>20</v>
      </c>
      <c r="B25" s="44" t="s">
        <v>167</v>
      </c>
      <c r="C25" s="3"/>
      <c r="D25" s="4"/>
      <c r="E25" s="72" t="s">
        <v>22</v>
      </c>
      <c r="F25" s="71">
        <v>45</v>
      </c>
      <c r="G25" s="73">
        <v>6.1</v>
      </c>
      <c r="H25" s="73">
        <f t="shared" si="0"/>
        <v>274.5</v>
      </c>
      <c r="I25" s="74">
        <v>0.23</v>
      </c>
      <c r="J25" s="73">
        <f t="shared" si="1"/>
        <v>63.135000000000005</v>
      </c>
      <c r="K25" s="73">
        <f t="shared" si="2"/>
        <v>337.63499999999999</v>
      </c>
      <c r="L25" s="73">
        <f t="shared" si="3"/>
        <v>7.5030000000000001</v>
      </c>
      <c r="M25" s="75">
        <f>10+5+1+20+2+3+10+1+4+1+5+5+1+7</f>
        <v>75</v>
      </c>
      <c r="N25" s="76">
        <f t="shared" si="4"/>
        <v>562.72500000000002</v>
      </c>
      <c r="O25" s="75">
        <f>10+5+1+20+2+3+10+1+4+1+5+5+1+7</f>
        <v>75</v>
      </c>
      <c r="P25" s="76">
        <f t="shared" si="5"/>
        <v>562.72500000000002</v>
      </c>
      <c r="Q25" s="75">
        <v>85</v>
      </c>
      <c r="R25" s="32"/>
      <c r="S25" s="32">
        <f t="shared" si="6"/>
        <v>0</v>
      </c>
      <c r="T25" s="33"/>
      <c r="U25" s="35">
        <f t="shared" si="7"/>
        <v>0</v>
      </c>
      <c r="V25" s="32">
        <f t="shared" si="8"/>
        <v>0</v>
      </c>
      <c r="W25" s="32">
        <f t="shared" si="9"/>
        <v>0</v>
      </c>
    </row>
    <row r="26" spans="1:23" ht="45">
      <c r="A26" s="23">
        <v>21</v>
      </c>
      <c r="B26" s="45" t="s">
        <v>144</v>
      </c>
      <c r="C26" s="3"/>
      <c r="D26" s="2"/>
      <c r="E26" s="72" t="s">
        <v>22</v>
      </c>
      <c r="F26" s="71">
        <v>55</v>
      </c>
      <c r="G26" s="73">
        <v>32.57</v>
      </c>
      <c r="H26" s="73">
        <f t="shared" si="0"/>
        <v>1791.35</v>
      </c>
      <c r="I26" s="74">
        <v>0.23</v>
      </c>
      <c r="J26" s="73">
        <f t="shared" si="1"/>
        <v>412.01049999999998</v>
      </c>
      <c r="K26" s="73">
        <f t="shared" si="2"/>
        <v>2203.3604999999998</v>
      </c>
      <c r="L26" s="73">
        <f t="shared" si="3"/>
        <v>40.061100000000003</v>
      </c>
      <c r="M26" s="75">
        <f>5+4+3+3+2+5+2+1+2+3+1+2+2+5+5+2+2+1</f>
        <v>50</v>
      </c>
      <c r="N26" s="76">
        <f t="shared" si="4"/>
        <v>2003.0550000000001</v>
      </c>
      <c r="O26" s="75">
        <f>4+5+3+3+2+5+2+1+2+1+2+3+2+5+5+2+1</f>
        <v>48</v>
      </c>
      <c r="P26" s="76">
        <f t="shared" si="5"/>
        <v>1922.9328</v>
      </c>
      <c r="Q26" s="75">
        <v>55</v>
      </c>
      <c r="R26" s="32"/>
      <c r="S26" s="32">
        <f t="shared" si="6"/>
        <v>0</v>
      </c>
      <c r="T26" s="33"/>
      <c r="U26" s="35">
        <f t="shared" si="7"/>
        <v>0</v>
      </c>
      <c r="V26" s="32">
        <f t="shared" si="8"/>
        <v>0</v>
      </c>
      <c r="W26" s="32">
        <f t="shared" si="9"/>
        <v>0</v>
      </c>
    </row>
    <row r="27" spans="1:23" ht="45">
      <c r="A27" s="23">
        <v>22</v>
      </c>
      <c r="B27" s="43" t="s">
        <v>197</v>
      </c>
      <c r="C27" s="3"/>
      <c r="D27" s="4"/>
      <c r="E27" s="72" t="s">
        <v>22</v>
      </c>
      <c r="F27" s="71">
        <v>210</v>
      </c>
      <c r="G27" s="73">
        <v>0.76</v>
      </c>
      <c r="H27" s="73">
        <f t="shared" si="0"/>
        <v>159.6</v>
      </c>
      <c r="I27" s="74">
        <v>0.23</v>
      </c>
      <c r="J27" s="73">
        <f t="shared" si="1"/>
        <v>36.707999999999998</v>
      </c>
      <c r="K27" s="73">
        <f t="shared" si="2"/>
        <v>196.30799999999999</v>
      </c>
      <c r="L27" s="73">
        <f t="shared" si="3"/>
        <v>0.93480000000000008</v>
      </c>
      <c r="M27" s="75">
        <f>10+5+5+4+5+5+2+2+20+2+6+3+3+4+2+2+1</f>
        <v>81</v>
      </c>
      <c r="N27" s="76">
        <f t="shared" si="4"/>
        <v>75.718800000000002</v>
      </c>
      <c r="O27" s="75">
        <f>10+5+5+4+5+5+2+2+20+6+2+3+3+4+2+2+1</f>
        <v>81</v>
      </c>
      <c r="P27" s="76">
        <f t="shared" si="5"/>
        <v>75.718800000000002</v>
      </c>
      <c r="Q27" s="75">
        <v>100</v>
      </c>
      <c r="R27" s="32"/>
      <c r="S27" s="32">
        <f t="shared" si="6"/>
        <v>0</v>
      </c>
      <c r="T27" s="33"/>
      <c r="U27" s="35">
        <f t="shared" si="7"/>
        <v>0</v>
      </c>
      <c r="V27" s="32">
        <f t="shared" si="8"/>
        <v>0</v>
      </c>
      <c r="W27" s="32">
        <f t="shared" si="9"/>
        <v>0</v>
      </c>
    </row>
    <row r="28" spans="1:23" ht="60">
      <c r="A28" s="23">
        <v>23</v>
      </c>
      <c r="B28" s="43" t="s">
        <v>23</v>
      </c>
      <c r="C28" s="3"/>
      <c r="D28" s="4"/>
      <c r="E28" s="51" t="s">
        <v>1</v>
      </c>
      <c r="F28" s="71">
        <v>25</v>
      </c>
      <c r="G28" s="73">
        <v>15.8</v>
      </c>
      <c r="H28" s="73">
        <f t="shared" si="0"/>
        <v>395</v>
      </c>
      <c r="I28" s="74">
        <v>0.23</v>
      </c>
      <c r="J28" s="73">
        <f t="shared" si="1"/>
        <v>90.850000000000009</v>
      </c>
      <c r="K28" s="73">
        <f t="shared" si="2"/>
        <v>485.85</v>
      </c>
      <c r="L28" s="73">
        <f t="shared" si="3"/>
        <v>19.434000000000001</v>
      </c>
      <c r="M28" s="75">
        <f>10+2+1+5+2+5+5</f>
        <v>30</v>
      </c>
      <c r="N28" s="76">
        <f t="shared" si="4"/>
        <v>583.02</v>
      </c>
      <c r="O28" s="75">
        <f>10+2+1+5+2+5+5</f>
        <v>30</v>
      </c>
      <c r="P28" s="76">
        <f t="shared" si="5"/>
        <v>583.02</v>
      </c>
      <c r="Q28" s="75">
        <v>35</v>
      </c>
      <c r="R28" s="32"/>
      <c r="S28" s="32">
        <f t="shared" si="6"/>
        <v>0</v>
      </c>
      <c r="T28" s="33"/>
      <c r="U28" s="35">
        <f t="shared" si="7"/>
        <v>0</v>
      </c>
      <c r="V28" s="32">
        <f t="shared" si="8"/>
        <v>0</v>
      </c>
      <c r="W28" s="32">
        <f t="shared" si="9"/>
        <v>0</v>
      </c>
    </row>
    <row r="29" spans="1:23" ht="30">
      <c r="A29" s="23">
        <v>24</v>
      </c>
      <c r="B29" s="46" t="s">
        <v>24</v>
      </c>
      <c r="C29" s="3"/>
      <c r="D29" s="4"/>
      <c r="E29" s="51" t="s">
        <v>1</v>
      </c>
      <c r="F29" s="71">
        <v>10</v>
      </c>
      <c r="G29" s="73">
        <v>6.96</v>
      </c>
      <c r="H29" s="73">
        <f t="shared" si="0"/>
        <v>69.599999999999994</v>
      </c>
      <c r="I29" s="74">
        <v>0.23</v>
      </c>
      <c r="J29" s="73">
        <f t="shared" si="1"/>
        <v>16.007999999999999</v>
      </c>
      <c r="K29" s="73">
        <f t="shared" si="2"/>
        <v>85.60799999999999</v>
      </c>
      <c r="L29" s="73">
        <f t="shared" si="3"/>
        <v>8.5608000000000004</v>
      </c>
      <c r="M29" s="75">
        <f>10+2+1+2+1+2</f>
        <v>18</v>
      </c>
      <c r="N29" s="76">
        <f t="shared" si="4"/>
        <v>154.09440000000001</v>
      </c>
      <c r="O29" s="75">
        <f>10+2+1+2+1+2</f>
        <v>18</v>
      </c>
      <c r="P29" s="76">
        <f t="shared" si="5"/>
        <v>154.09440000000001</v>
      </c>
      <c r="Q29" s="75">
        <v>20</v>
      </c>
      <c r="R29" s="32"/>
      <c r="S29" s="32">
        <f t="shared" si="6"/>
        <v>0</v>
      </c>
      <c r="T29" s="33"/>
      <c r="U29" s="35">
        <f t="shared" si="7"/>
        <v>0</v>
      </c>
      <c r="V29" s="32">
        <f t="shared" si="8"/>
        <v>0</v>
      </c>
      <c r="W29" s="32">
        <f t="shared" si="9"/>
        <v>0</v>
      </c>
    </row>
    <row r="30" spans="1:23" ht="30">
      <c r="A30" s="23">
        <v>25</v>
      </c>
      <c r="B30" s="43" t="s">
        <v>25</v>
      </c>
      <c r="C30" s="3"/>
      <c r="D30" s="4"/>
      <c r="E30" s="51" t="s">
        <v>1</v>
      </c>
      <c r="F30" s="71">
        <v>50</v>
      </c>
      <c r="G30" s="73">
        <v>3.78</v>
      </c>
      <c r="H30" s="73">
        <f t="shared" si="0"/>
        <v>189</v>
      </c>
      <c r="I30" s="74">
        <v>0.23</v>
      </c>
      <c r="J30" s="73">
        <f t="shared" si="1"/>
        <v>43.47</v>
      </c>
      <c r="K30" s="73">
        <f t="shared" si="2"/>
        <v>232.47</v>
      </c>
      <c r="L30" s="73">
        <f t="shared" si="3"/>
        <v>4.6494</v>
      </c>
      <c r="M30" s="75">
        <f>2+10+2+2+6+5+5+5</f>
        <v>37</v>
      </c>
      <c r="N30" s="76">
        <f t="shared" si="4"/>
        <v>172.02780000000001</v>
      </c>
      <c r="O30" s="75">
        <f>2+10+2+2+6+5+5+5</f>
        <v>37</v>
      </c>
      <c r="P30" s="76">
        <f t="shared" si="5"/>
        <v>172.02780000000001</v>
      </c>
      <c r="Q30" s="75">
        <v>70</v>
      </c>
      <c r="R30" s="32"/>
      <c r="S30" s="32">
        <f t="shared" si="6"/>
        <v>0</v>
      </c>
      <c r="T30" s="33"/>
      <c r="U30" s="35">
        <f t="shared" si="7"/>
        <v>0</v>
      </c>
      <c r="V30" s="32">
        <f t="shared" si="8"/>
        <v>0</v>
      </c>
      <c r="W30" s="32">
        <f t="shared" si="9"/>
        <v>0</v>
      </c>
    </row>
    <row r="31" spans="1:23" ht="30">
      <c r="A31" s="23">
        <v>26</v>
      </c>
      <c r="B31" s="43" t="s">
        <v>26</v>
      </c>
      <c r="C31" s="3"/>
      <c r="D31" s="4"/>
      <c r="E31" s="51" t="s">
        <v>1</v>
      </c>
      <c r="F31" s="71">
        <v>55</v>
      </c>
      <c r="G31" s="73">
        <v>1.94</v>
      </c>
      <c r="H31" s="73">
        <f t="shared" si="0"/>
        <v>106.7</v>
      </c>
      <c r="I31" s="74">
        <v>0.23</v>
      </c>
      <c r="J31" s="73">
        <f t="shared" si="1"/>
        <v>24.541</v>
      </c>
      <c r="K31" s="73">
        <f t="shared" si="2"/>
        <v>131.24100000000001</v>
      </c>
      <c r="L31" s="73">
        <f t="shared" si="3"/>
        <v>2.3862000000000001</v>
      </c>
      <c r="M31" s="75">
        <f>2+6+2+5</f>
        <v>15</v>
      </c>
      <c r="N31" s="76">
        <f t="shared" si="4"/>
        <v>35.792999999999999</v>
      </c>
      <c r="O31" s="75">
        <f>2+6+2+5</f>
        <v>15</v>
      </c>
      <c r="P31" s="76">
        <f t="shared" si="5"/>
        <v>35.792999999999999</v>
      </c>
      <c r="Q31" s="75">
        <v>40</v>
      </c>
      <c r="R31" s="32"/>
      <c r="S31" s="32">
        <f t="shared" si="6"/>
        <v>0</v>
      </c>
      <c r="T31" s="33"/>
      <c r="U31" s="35">
        <f t="shared" si="7"/>
        <v>0</v>
      </c>
      <c r="V31" s="32">
        <f t="shared" si="8"/>
        <v>0</v>
      </c>
      <c r="W31" s="32">
        <f t="shared" si="9"/>
        <v>0</v>
      </c>
    </row>
    <row r="32" spans="1:23" ht="30">
      <c r="A32" s="23">
        <v>27</v>
      </c>
      <c r="B32" s="43" t="s">
        <v>27</v>
      </c>
      <c r="C32" s="3"/>
      <c r="D32" s="4"/>
      <c r="E32" s="51" t="s">
        <v>1</v>
      </c>
      <c r="F32" s="71">
        <v>12</v>
      </c>
      <c r="G32" s="73">
        <v>1.76</v>
      </c>
      <c r="H32" s="73">
        <f t="shared" si="0"/>
        <v>21.12</v>
      </c>
      <c r="I32" s="74">
        <v>0.23</v>
      </c>
      <c r="J32" s="73">
        <f t="shared" si="1"/>
        <v>4.8576000000000006</v>
      </c>
      <c r="K32" s="73">
        <f t="shared" si="2"/>
        <v>25.977600000000002</v>
      </c>
      <c r="L32" s="73">
        <f t="shared" si="3"/>
        <v>2.1648000000000001</v>
      </c>
      <c r="M32" s="75">
        <f>10+5+10+4+3+5+5+14</f>
        <v>56</v>
      </c>
      <c r="N32" s="76">
        <f t="shared" si="4"/>
        <v>121.22880000000001</v>
      </c>
      <c r="O32" s="75">
        <f>10+5+10+4+3+5+5+14</f>
        <v>56</v>
      </c>
      <c r="P32" s="76">
        <f t="shared" si="5"/>
        <v>121.22880000000001</v>
      </c>
      <c r="Q32" s="75">
        <v>70</v>
      </c>
      <c r="R32" s="32"/>
      <c r="S32" s="32">
        <f t="shared" si="6"/>
        <v>0</v>
      </c>
      <c r="T32" s="33"/>
      <c r="U32" s="35">
        <f t="shared" si="7"/>
        <v>0</v>
      </c>
      <c r="V32" s="32">
        <f t="shared" si="8"/>
        <v>0</v>
      </c>
      <c r="W32" s="32">
        <f t="shared" si="9"/>
        <v>0</v>
      </c>
    </row>
    <row r="33" spans="1:23">
      <c r="A33" s="23">
        <v>28</v>
      </c>
      <c r="B33" s="43" t="s">
        <v>28</v>
      </c>
      <c r="C33" s="3"/>
      <c r="D33" s="4"/>
      <c r="E33" s="72" t="s">
        <v>1</v>
      </c>
      <c r="F33" s="71">
        <v>5</v>
      </c>
      <c r="G33" s="73">
        <v>5.75</v>
      </c>
      <c r="H33" s="73">
        <f t="shared" si="0"/>
        <v>28.75</v>
      </c>
      <c r="I33" s="74">
        <v>0.23</v>
      </c>
      <c r="J33" s="73">
        <f t="shared" si="1"/>
        <v>6.6125000000000007</v>
      </c>
      <c r="K33" s="73">
        <f t="shared" si="2"/>
        <v>35.362499999999997</v>
      </c>
      <c r="L33" s="73">
        <f t="shared" si="3"/>
        <v>7.0724999999999998</v>
      </c>
      <c r="M33" s="75">
        <f>5</f>
        <v>5</v>
      </c>
      <c r="N33" s="76">
        <f t="shared" si="4"/>
        <v>35.362499999999997</v>
      </c>
      <c r="O33" s="75">
        <f>5</f>
        <v>5</v>
      </c>
      <c r="P33" s="76">
        <f t="shared" si="5"/>
        <v>35.362499999999997</v>
      </c>
      <c r="Q33" s="75">
        <v>8</v>
      </c>
      <c r="R33" s="32"/>
      <c r="S33" s="32">
        <f t="shared" si="6"/>
        <v>0</v>
      </c>
      <c r="T33" s="33"/>
      <c r="U33" s="35">
        <f t="shared" si="7"/>
        <v>0</v>
      </c>
      <c r="V33" s="32">
        <f t="shared" si="8"/>
        <v>0</v>
      </c>
      <c r="W33" s="32">
        <f t="shared" si="9"/>
        <v>0</v>
      </c>
    </row>
    <row r="34" spans="1:23">
      <c r="A34" s="23">
        <v>29</v>
      </c>
      <c r="B34" s="43" t="s">
        <v>29</v>
      </c>
      <c r="C34" s="3"/>
      <c r="D34" s="4"/>
      <c r="E34" s="72" t="s">
        <v>1</v>
      </c>
      <c r="F34" s="71">
        <v>5</v>
      </c>
      <c r="G34" s="73">
        <v>2.2999999999999998</v>
      </c>
      <c r="H34" s="73">
        <f t="shared" si="0"/>
        <v>11.5</v>
      </c>
      <c r="I34" s="74">
        <v>0.23</v>
      </c>
      <c r="J34" s="73">
        <f t="shared" si="1"/>
        <v>2.645</v>
      </c>
      <c r="K34" s="73">
        <f t="shared" si="2"/>
        <v>14.145</v>
      </c>
      <c r="L34" s="73">
        <f t="shared" si="3"/>
        <v>2.8289999999999997</v>
      </c>
      <c r="M34" s="75">
        <f>5</f>
        <v>5</v>
      </c>
      <c r="N34" s="76">
        <f t="shared" si="4"/>
        <v>14.145</v>
      </c>
      <c r="O34" s="75">
        <f>5</f>
        <v>5</v>
      </c>
      <c r="P34" s="76">
        <f t="shared" si="5"/>
        <v>14.145</v>
      </c>
      <c r="Q34" s="75">
        <v>8</v>
      </c>
      <c r="R34" s="32"/>
      <c r="S34" s="32">
        <f t="shared" si="6"/>
        <v>0</v>
      </c>
      <c r="T34" s="33"/>
      <c r="U34" s="35">
        <f t="shared" si="7"/>
        <v>0</v>
      </c>
      <c r="V34" s="32">
        <f t="shared" si="8"/>
        <v>0</v>
      </c>
      <c r="W34" s="32">
        <f t="shared" si="9"/>
        <v>0</v>
      </c>
    </row>
    <row r="35" spans="1:23" ht="30">
      <c r="A35" s="23">
        <v>30</v>
      </c>
      <c r="B35" s="43" t="s">
        <v>168</v>
      </c>
      <c r="C35" s="3"/>
      <c r="D35" s="2"/>
      <c r="E35" s="72" t="s">
        <v>1</v>
      </c>
      <c r="F35" s="71">
        <v>6</v>
      </c>
      <c r="G35" s="73">
        <v>29.9</v>
      </c>
      <c r="H35" s="73">
        <f t="shared" si="0"/>
        <v>179.39999999999998</v>
      </c>
      <c r="I35" s="74">
        <v>0.23</v>
      </c>
      <c r="J35" s="73">
        <f t="shared" si="1"/>
        <v>41.261999999999993</v>
      </c>
      <c r="K35" s="73">
        <f t="shared" si="2"/>
        <v>220.66199999999998</v>
      </c>
      <c r="L35" s="73">
        <f t="shared" si="3"/>
        <v>36.777000000000001</v>
      </c>
      <c r="M35" s="75">
        <f>2+3</f>
        <v>5</v>
      </c>
      <c r="N35" s="76">
        <f t="shared" si="4"/>
        <v>183.88499999999999</v>
      </c>
      <c r="O35" s="75">
        <f>2+3</f>
        <v>5</v>
      </c>
      <c r="P35" s="76">
        <f t="shared" si="5"/>
        <v>183.88499999999999</v>
      </c>
      <c r="Q35" s="75">
        <v>8</v>
      </c>
      <c r="R35" s="32"/>
      <c r="S35" s="32">
        <f t="shared" si="6"/>
        <v>0</v>
      </c>
      <c r="T35" s="33"/>
      <c r="U35" s="35">
        <f t="shared" si="7"/>
        <v>0</v>
      </c>
      <c r="V35" s="32">
        <f t="shared" si="8"/>
        <v>0</v>
      </c>
      <c r="W35" s="32">
        <f t="shared" si="9"/>
        <v>0</v>
      </c>
    </row>
    <row r="36" spans="1:23" ht="30">
      <c r="A36" s="23">
        <v>31</v>
      </c>
      <c r="B36" s="43" t="s">
        <v>30</v>
      </c>
      <c r="C36" s="3"/>
      <c r="D36" s="4"/>
      <c r="E36" s="72" t="s">
        <v>1</v>
      </c>
      <c r="F36" s="71">
        <v>3</v>
      </c>
      <c r="G36" s="73">
        <v>20.329999999999998</v>
      </c>
      <c r="H36" s="73">
        <f t="shared" si="0"/>
        <v>60.989999999999995</v>
      </c>
      <c r="I36" s="74">
        <v>0.23</v>
      </c>
      <c r="J36" s="73">
        <f t="shared" si="1"/>
        <v>14.027699999999999</v>
      </c>
      <c r="K36" s="73">
        <f t="shared" si="2"/>
        <v>75.017699999999991</v>
      </c>
      <c r="L36" s="73">
        <f t="shared" si="3"/>
        <v>25.005899999999997</v>
      </c>
      <c r="M36" s="75">
        <f>2</f>
        <v>2</v>
      </c>
      <c r="N36" s="76">
        <f t="shared" si="4"/>
        <v>50.011799999999994</v>
      </c>
      <c r="O36" s="75">
        <v>2</v>
      </c>
      <c r="P36" s="76">
        <f t="shared" si="5"/>
        <v>50.011799999999994</v>
      </c>
      <c r="Q36" s="75">
        <v>4</v>
      </c>
      <c r="R36" s="32"/>
      <c r="S36" s="32">
        <f t="shared" si="6"/>
        <v>0</v>
      </c>
      <c r="T36" s="33"/>
      <c r="U36" s="35">
        <f t="shared" si="7"/>
        <v>0</v>
      </c>
      <c r="V36" s="32">
        <f t="shared" si="8"/>
        <v>0</v>
      </c>
      <c r="W36" s="32">
        <f t="shared" si="9"/>
        <v>0</v>
      </c>
    </row>
    <row r="37" spans="1:23">
      <c r="A37" s="23">
        <v>32</v>
      </c>
      <c r="B37" s="43" t="s">
        <v>31</v>
      </c>
      <c r="C37" s="3"/>
      <c r="D37" s="11"/>
      <c r="E37" s="51" t="s">
        <v>1</v>
      </c>
      <c r="F37" s="71">
        <v>30</v>
      </c>
      <c r="G37" s="73">
        <v>1.9</v>
      </c>
      <c r="H37" s="73">
        <f t="shared" si="0"/>
        <v>57</v>
      </c>
      <c r="I37" s="74">
        <v>0.23</v>
      </c>
      <c r="J37" s="73">
        <f t="shared" si="1"/>
        <v>13.110000000000001</v>
      </c>
      <c r="K37" s="73">
        <f t="shared" si="2"/>
        <v>70.11</v>
      </c>
      <c r="L37" s="73">
        <f t="shared" si="3"/>
        <v>2.3369999999999997</v>
      </c>
      <c r="M37" s="75">
        <f>10+5+10+2+2+20+4</f>
        <v>53</v>
      </c>
      <c r="N37" s="76">
        <f t="shared" si="4"/>
        <v>123.86099999999999</v>
      </c>
      <c r="O37" s="75">
        <f>5+10+10+2+2+20+4</f>
        <v>53</v>
      </c>
      <c r="P37" s="76">
        <f t="shared" si="5"/>
        <v>123.86099999999999</v>
      </c>
      <c r="Q37" s="75">
        <v>60</v>
      </c>
      <c r="R37" s="32"/>
      <c r="S37" s="32">
        <f t="shared" si="6"/>
        <v>0</v>
      </c>
      <c r="T37" s="33"/>
      <c r="U37" s="35">
        <f t="shared" si="7"/>
        <v>0</v>
      </c>
      <c r="V37" s="32">
        <f t="shared" si="8"/>
        <v>0</v>
      </c>
      <c r="W37" s="32">
        <f t="shared" si="9"/>
        <v>0</v>
      </c>
    </row>
    <row r="38" spans="1:23" ht="18">
      <c r="A38" s="23">
        <v>33</v>
      </c>
      <c r="B38" s="43" t="s">
        <v>145</v>
      </c>
      <c r="C38" s="3"/>
      <c r="D38" s="4"/>
      <c r="E38" s="51" t="s">
        <v>1</v>
      </c>
      <c r="F38" s="71">
        <v>55</v>
      </c>
      <c r="G38" s="73">
        <v>3.01</v>
      </c>
      <c r="H38" s="73">
        <f t="shared" si="0"/>
        <v>165.54999999999998</v>
      </c>
      <c r="I38" s="74">
        <v>0.23</v>
      </c>
      <c r="J38" s="73">
        <f t="shared" si="1"/>
        <v>38.076499999999996</v>
      </c>
      <c r="K38" s="73">
        <f t="shared" si="2"/>
        <v>203.62649999999996</v>
      </c>
      <c r="L38" s="73">
        <f t="shared" si="3"/>
        <v>3.7022999999999997</v>
      </c>
      <c r="M38" s="75">
        <f>4+20+5+10+2+40+10</f>
        <v>91</v>
      </c>
      <c r="N38" s="76">
        <f t="shared" si="4"/>
        <v>336.90929999999997</v>
      </c>
      <c r="O38" s="75">
        <f>5+20+4+10+2+40+10</f>
        <v>91</v>
      </c>
      <c r="P38" s="76">
        <f t="shared" si="5"/>
        <v>336.90929999999997</v>
      </c>
      <c r="Q38" s="75">
        <v>95</v>
      </c>
      <c r="R38" s="32"/>
      <c r="S38" s="32">
        <f t="shared" si="6"/>
        <v>0</v>
      </c>
      <c r="T38" s="33"/>
      <c r="U38" s="35">
        <f t="shared" si="7"/>
        <v>0</v>
      </c>
      <c r="V38" s="32">
        <f t="shared" si="8"/>
        <v>0</v>
      </c>
      <c r="W38" s="32">
        <f t="shared" si="9"/>
        <v>0</v>
      </c>
    </row>
    <row r="39" spans="1:23">
      <c r="A39" s="23">
        <v>34</v>
      </c>
      <c r="B39" s="43" t="s">
        <v>32</v>
      </c>
      <c r="C39" s="3"/>
      <c r="D39" s="4"/>
      <c r="E39" s="51" t="s">
        <v>1</v>
      </c>
      <c r="F39" s="71">
        <v>70</v>
      </c>
      <c r="G39" s="73">
        <v>4.26</v>
      </c>
      <c r="H39" s="73">
        <f t="shared" si="0"/>
        <v>298.2</v>
      </c>
      <c r="I39" s="74">
        <v>0.23</v>
      </c>
      <c r="J39" s="73">
        <f t="shared" si="1"/>
        <v>68.585999999999999</v>
      </c>
      <c r="K39" s="73">
        <f t="shared" si="2"/>
        <v>366.786</v>
      </c>
      <c r="L39" s="73">
        <f t="shared" si="3"/>
        <v>5.2397999999999998</v>
      </c>
      <c r="M39" s="75">
        <f>5+4+10+2+10+2+6+4+10+4+1+3+5+4</f>
        <v>70</v>
      </c>
      <c r="N39" s="76">
        <f t="shared" si="4"/>
        <v>366.786</v>
      </c>
      <c r="O39" s="75">
        <f>5+4+10+2+10+2+6+10+4+1+4+3+5+4</f>
        <v>70</v>
      </c>
      <c r="P39" s="76">
        <f t="shared" si="5"/>
        <v>366.786</v>
      </c>
      <c r="Q39" s="75">
        <v>75</v>
      </c>
      <c r="R39" s="32"/>
      <c r="S39" s="32">
        <f t="shared" si="6"/>
        <v>0</v>
      </c>
      <c r="T39" s="33"/>
      <c r="U39" s="35">
        <f t="shared" si="7"/>
        <v>0</v>
      </c>
      <c r="V39" s="32">
        <f t="shared" si="8"/>
        <v>0</v>
      </c>
      <c r="W39" s="32">
        <f t="shared" si="9"/>
        <v>0</v>
      </c>
    </row>
    <row r="40" spans="1:23">
      <c r="A40" s="23">
        <v>35</v>
      </c>
      <c r="B40" s="43" t="s">
        <v>33</v>
      </c>
      <c r="C40" s="3"/>
      <c r="D40" s="4"/>
      <c r="E40" s="51" t="s">
        <v>1</v>
      </c>
      <c r="F40" s="71">
        <v>110</v>
      </c>
      <c r="G40" s="73">
        <v>2.4</v>
      </c>
      <c r="H40" s="73">
        <f t="shared" si="0"/>
        <v>264</v>
      </c>
      <c r="I40" s="74">
        <v>0.23</v>
      </c>
      <c r="J40" s="73">
        <f t="shared" si="1"/>
        <v>60.720000000000006</v>
      </c>
      <c r="K40" s="73">
        <f t="shared" si="2"/>
        <v>324.72000000000003</v>
      </c>
      <c r="L40" s="73">
        <f t="shared" si="3"/>
        <v>2.952</v>
      </c>
      <c r="M40" s="75">
        <f>5+6+4+2+2+4+2+1+4+3+12+5</f>
        <v>50</v>
      </c>
      <c r="N40" s="76">
        <f t="shared" si="4"/>
        <v>147.6</v>
      </c>
      <c r="O40" s="75">
        <f>5+6+4+2+2+4+2+1+4+3+12+5</f>
        <v>50</v>
      </c>
      <c r="P40" s="76">
        <f t="shared" si="5"/>
        <v>147.6</v>
      </c>
      <c r="Q40" s="75">
        <v>60</v>
      </c>
      <c r="R40" s="32"/>
      <c r="S40" s="32">
        <f t="shared" si="6"/>
        <v>0</v>
      </c>
      <c r="T40" s="33"/>
      <c r="U40" s="35">
        <f t="shared" si="7"/>
        <v>0</v>
      </c>
      <c r="V40" s="32">
        <f t="shared" si="8"/>
        <v>0</v>
      </c>
      <c r="W40" s="32">
        <f t="shared" si="9"/>
        <v>0</v>
      </c>
    </row>
    <row r="41" spans="1:23" ht="30">
      <c r="A41" s="23">
        <v>36</v>
      </c>
      <c r="B41" s="43" t="s">
        <v>34</v>
      </c>
      <c r="C41" s="3"/>
      <c r="D41" s="4"/>
      <c r="E41" s="72" t="s">
        <v>2</v>
      </c>
      <c r="F41" s="71">
        <v>65</v>
      </c>
      <c r="G41" s="73">
        <v>4.03</v>
      </c>
      <c r="H41" s="73">
        <f t="shared" si="0"/>
        <v>261.95</v>
      </c>
      <c r="I41" s="74">
        <v>0.23</v>
      </c>
      <c r="J41" s="73">
        <f t="shared" si="1"/>
        <v>60.2485</v>
      </c>
      <c r="K41" s="73">
        <f t="shared" si="2"/>
        <v>322.19849999999997</v>
      </c>
      <c r="L41" s="73">
        <f t="shared" si="3"/>
        <v>4.9569000000000001</v>
      </c>
      <c r="M41" s="75">
        <f>2+5+3+4+4+6+1+10+3+2+2+2+2+3+1+3+2+1+5+2+5+5+2+1+14+3</f>
        <v>93</v>
      </c>
      <c r="N41" s="76">
        <f t="shared" si="4"/>
        <v>460.99169999999998</v>
      </c>
      <c r="O41" s="75">
        <f>5+2+4+3+4+6+1+10+3+2+2+3+2+1+1+3+5+2+5+5+1+14+3</f>
        <v>87</v>
      </c>
      <c r="P41" s="76">
        <f t="shared" si="5"/>
        <v>431.25029999999998</v>
      </c>
      <c r="Q41" s="75">
        <v>100</v>
      </c>
      <c r="R41" s="32"/>
      <c r="S41" s="32">
        <f t="shared" si="6"/>
        <v>0</v>
      </c>
      <c r="T41" s="33"/>
      <c r="U41" s="35">
        <f t="shared" si="7"/>
        <v>0</v>
      </c>
      <c r="V41" s="32">
        <f t="shared" si="8"/>
        <v>0</v>
      </c>
      <c r="W41" s="32">
        <f t="shared" si="9"/>
        <v>0</v>
      </c>
    </row>
    <row r="42" spans="1:23" ht="30">
      <c r="A42" s="23">
        <v>37</v>
      </c>
      <c r="B42" s="43" t="s">
        <v>198</v>
      </c>
      <c r="C42" s="10"/>
      <c r="D42" s="6"/>
      <c r="E42" s="72" t="s">
        <v>1</v>
      </c>
      <c r="F42" s="71">
        <v>45</v>
      </c>
      <c r="G42" s="73">
        <v>4.54</v>
      </c>
      <c r="H42" s="73">
        <f t="shared" si="0"/>
        <v>204.3</v>
      </c>
      <c r="I42" s="74">
        <v>0.23</v>
      </c>
      <c r="J42" s="73">
        <f t="shared" si="1"/>
        <v>46.989000000000004</v>
      </c>
      <c r="K42" s="73">
        <f t="shared" si="2"/>
        <v>251.28900000000002</v>
      </c>
      <c r="L42" s="73">
        <f t="shared" si="3"/>
        <v>5.5842000000000001</v>
      </c>
      <c r="M42" s="75">
        <f>10+4+5+2+5+6+5+6+5+2+5+1</f>
        <v>56</v>
      </c>
      <c r="N42" s="76">
        <f t="shared" si="4"/>
        <v>312.71519999999998</v>
      </c>
      <c r="O42" s="75">
        <f>10+4+5+2+5+5+6+5+2+6+5+1</f>
        <v>56</v>
      </c>
      <c r="P42" s="76">
        <f t="shared" si="5"/>
        <v>312.71519999999998</v>
      </c>
      <c r="Q42" s="75">
        <v>60</v>
      </c>
      <c r="R42" s="32"/>
      <c r="S42" s="32">
        <f t="shared" si="6"/>
        <v>0</v>
      </c>
      <c r="T42" s="33"/>
      <c r="U42" s="35">
        <f t="shared" si="7"/>
        <v>0</v>
      </c>
      <c r="V42" s="32">
        <f t="shared" si="8"/>
        <v>0</v>
      </c>
      <c r="W42" s="32">
        <f t="shared" si="9"/>
        <v>0</v>
      </c>
    </row>
    <row r="43" spans="1:23" ht="30">
      <c r="A43" s="23">
        <v>38</v>
      </c>
      <c r="B43" s="47" t="s">
        <v>227</v>
      </c>
      <c r="C43" s="3"/>
      <c r="D43" s="4"/>
      <c r="E43" s="72" t="s">
        <v>1</v>
      </c>
      <c r="F43" s="71">
        <v>60</v>
      </c>
      <c r="G43" s="73">
        <v>2.5499999999999998</v>
      </c>
      <c r="H43" s="73">
        <f t="shared" si="0"/>
        <v>153</v>
      </c>
      <c r="I43" s="74">
        <v>0.23</v>
      </c>
      <c r="J43" s="73">
        <f t="shared" si="1"/>
        <v>35.190000000000005</v>
      </c>
      <c r="K43" s="73">
        <f t="shared" si="2"/>
        <v>188.19</v>
      </c>
      <c r="L43" s="73">
        <f t="shared" si="3"/>
        <v>3.1364999999999998</v>
      </c>
      <c r="M43" s="75">
        <f>12+10+10+4+5+2+5+5+5+10+10+35+5+8+5+5+8</f>
        <v>144</v>
      </c>
      <c r="N43" s="76">
        <f t="shared" si="4"/>
        <v>451.65599999999995</v>
      </c>
      <c r="O43" s="75">
        <f>12+10+10+4+5+2+5+5+5+10+10+5+3+5+8+5+5+8</f>
        <v>117</v>
      </c>
      <c r="P43" s="76">
        <f t="shared" si="5"/>
        <v>366.97049999999996</v>
      </c>
      <c r="Q43" s="75">
        <v>260</v>
      </c>
      <c r="R43" s="32"/>
      <c r="S43" s="32">
        <f t="shared" si="6"/>
        <v>0</v>
      </c>
      <c r="T43" s="33"/>
      <c r="U43" s="35">
        <f t="shared" si="7"/>
        <v>0</v>
      </c>
      <c r="V43" s="32">
        <f t="shared" si="8"/>
        <v>0</v>
      </c>
      <c r="W43" s="32">
        <f t="shared" si="9"/>
        <v>0</v>
      </c>
    </row>
    <row r="44" spans="1:23" ht="30">
      <c r="A44" s="23">
        <v>39</v>
      </c>
      <c r="B44" s="43" t="s">
        <v>199</v>
      </c>
      <c r="C44" s="3"/>
      <c r="D44" s="15"/>
      <c r="E44" s="72" t="s">
        <v>1</v>
      </c>
      <c r="F44" s="71">
        <v>150</v>
      </c>
      <c r="G44" s="73">
        <v>3.45</v>
      </c>
      <c r="H44" s="73">
        <f t="shared" si="0"/>
        <v>517.5</v>
      </c>
      <c r="I44" s="74">
        <v>0.23</v>
      </c>
      <c r="J44" s="73">
        <f t="shared" si="1"/>
        <v>119.02500000000001</v>
      </c>
      <c r="K44" s="73">
        <f t="shared" si="2"/>
        <v>636.52499999999998</v>
      </c>
      <c r="L44" s="73">
        <f t="shared" si="3"/>
        <v>4.2435</v>
      </c>
      <c r="M44" s="75">
        <f>6+10+5+10+12+8+4+10+7+12+4+8+10+10+3+5+12+2+5+10+5+12+4+5+5+5+20+6</f>
        <v>215</v>
      </c>
      <c r="N44" s="76">
        <f t="shared" si="4"/>
        <v>912.35249999999996</v>
      </c>
      <c r="O44" s="75">
        <f>10+5+6+12+10+8+4+10+7+12+4+10+8+10+2+5+12+5+3+10+12+5+5+4+5+6</f>
        <v>190</v>
      </c>
      <c r="P44" s="76">
        <f t="shared" si="5"/>
        <v>806.26499999999999</v>
      </c>
      <c r="Q44" s="75">
        <v>425</v>
      </c>
      <c r="R44" s="32"/>
      <c r="S44" s="32">
        <f t="shared" si="6"/>
        <v>0</v>
      </c>
      <c r="T44" s="33"/>
      <c r="U44" s="35">
        <f t="shared" si="7"/>
        <v>0</v>
      </c>
      <c r="V44" s="32">
        <f t="shared" si="8"/>
        <v>0</v>
      </c>
      <c r="W44" s="32">
        <f t="shared" si="9"/>
        <v>0</v>
      </c>
    </row>
    <row r="45" spans="1:23" ht="30">
      <c r="A45" s="23">
        <v>40</v>
      </c>
      <c r="B45" s="43" t="s">
        <v>200</v>
      </c>
      <c r="C45" s="3"/>
      <c r="D45" s="15"/>
      <c r="E45" s="72" t="s">
        <v>1</v>
      </c>
      <c r="F45" s="71">
        <v>210</v>
      </c>
      <c r="G45" s="73">
        <v>7.72</v>
      </c>
      <c r="H45" s="73">
        <f t="shared" si="0"/>
        <v>1621.2</v>
      </c>
      <c r="I45" s="74">
        <v>0.23</v>
      </c>
      <c r="J45" s="73">
        <f t="shared" si="1"/>
        <v>372.87600000000003</v>
      </c>
      <c r="K45" s="73">
        <f t="shared" si="2"/>
        <v>1994.076</v>
      </c>
      <c r="L45" s="73">
        <f t="shared" si="3"/>
        <v>9.4955999999999996</v>
      </c>
      <c r="M45" s="75">
        <f>10+20+10+42+8+10+10+6+8+4+2+10+12+1+3+5+4+10+3+6+10+3+6+10+25+5+24+5+10+5+15+10+10</f>
        <v>322</v>
      </c>
      <c r="N45" s="76">
        <f t="shared" si="4"/>
        <v>3057.5832</v>
      </c>
      <c r="O45" s="75">
        <f>20+10+10+42+8+10+10+6+8+4+2+10+1+12+5+4+10+6+3+10+10+25+6+5+24+5+10+10+5</f>
        <v>291</v>
      </c>
      <c r="P45" s="76">
        <f t="shared" si="5"/>
        <v>2763.2195999999999</v>
      </c>
      <c r="Q45" s="75">
        <v>330</v>
      </c>
      <c r="R45" s="32"/>
      <c r="S45" s="32">
        <f t="shared" si="6"/>
        <v>0</v>
      </c>
      <c r="T45" s="33"/>
      <c r="U45" s="35">
        <f t="shared" si="7"/>
        <v>0</v>
      </c>
      <c r="V45" s="32">
        <f t="shared" si="8"/>
        <v>0</v>
      </c>
      <c r="W45" s="32">
        <f t="shared" si="9"/>
        <v>0</v>
      </c>
    </row>
    <row r="46" spans="1:23" ht="30">
      <c r="A46" s="23">
        <v>41</v>
      </c>
      <c r="B46" s="42" t="s">
        <v>201</v>
      </c>
      <c r="C46" s="3"/>
      <c r="D46" s="15"/>
      <c r="E46" s="72" t="s">
        <v>1</v>
      </c>
      <c r="F46" s="71">
        <v>110</v>
      </c>
      <c r="G46" s="73">
        <v>7.72</v>
      </c>
      <c r="H46" s="73">
        <f t="shared" si="0"/>
        <v>849.19999999999993</v>
      </c>
      <c r="I46" s="74">
        <v>0.23</v>
      </c>
      <c r="J46" s="73">
        <f t="shared" si="1"/>
        <v>195.316</v>
      </c>
      <c r="K46" s="73">
        <f t="shared" si="2"/>
        <v>1044.5159999999998</v>
      </c>
      <c r="L46" s="73">
        <f t="shared" si="3"/>
        <v>9.4955999999999996</v>
      </c>
      <c r="M46" s="75">
        <f>1+1+10+4+6+8+10+10+10+5+6+10+25+9+2+10+3</f>
        <v>130</v>
      </c>
      <c r="N46" s="76">
        <f t="shared" si="4"/>
        <v>1234.4279999999999</v>
      </c>
      <c r="O46" s="75">
        <f>1+4+1+10+6+8+10+10+5+10+10+25+6+9+2+10+3</f>
        <v>130</v>
      </c>
      <c r="P46" s="76">
        <f t="shared" si="5"/>
        <v>1234.4279999999999</v>
      </c>
      <c r="Q46" s="75">
        <v>200</v>
      </c>
      <c r="R46" s="32"/>
      <c r="S46" s="32">
        <f t="shared" si="6"/>
        <v>0</v>
      </c>
      <c r="T46" s="33"/>
      <c r="U46" s="35">
        <f t="shared" si="7"/>
        <v>0</v>
      </c>
      <c r="V46" s="32">
        <f t="shared" si="8"/>
        <v>0</v>
      </c>
      <c r="W46" s="32">
        <f t="shared" si="9"/>
        <v>0</v>
      </c>
    </row>
    <row r="47" spans="1:23" ht="30">
      <c r="A47" s="23">
        <v>42</v>
      </c>
      <c r="B47" s="42" t="s">
        <v>202</v>
      </c>
      <c r="C47" s="3"/>
      <c r="D47" s="15"/>
      <c r="E47" s="72" t="s">
        <v>1</v>
      </c>
      <c r="F47" s="71">
        <v>500</v>
      </c>
      <c r="G47" s="73">
        <v>1.2</v>
      </c>
      <c r="H47" s="73">
        <f t="shared" si="0"/>
        <v>600</v>
      </c>
      <c r="I47" s="74">
        <v>0.23</v>
      </c>
      <c r="J47" s="73">
        <f t="shared" si="1"/>
        <v>138</v>
      </c>
      <c r="K47" s="73">
        <f t="shared" si="2"/>
        <v>738</v>
      </c>
      <c r="L47" s="73">
        <f t="shared" si="3"/>
        <v>1.476</v>
      </c>
      <c r="M47" s="75">
        <f>40+20+20+6+20+3+20+20+30+2+10+40+12+6+10+10+10+3+10+10+10+20+5+5+10+10+10+6+4+5+50+40+30+50+3</f>
        <v>560</v>
      </c>
      <c r="N47" s="76">
        <f t="shared" si="4"/>
        <v>826.56</v>
      </c>
      <c r="O47" s="75">
        <f>40+20+20+20+6+20+3+30+20+2+10+40+12+6+10+10+10+3+10+10+10+20+5+10+5+10+4+6+50+10+40+5+30+50+3</f>
        <v>560</v>
      </c>
      <c r="P47" s="76">
        <f t="shared" si="5"/>
        <v>826.56</v>
      </c>
      <c r="Q47" s="75">
        <v>670</v>
      </c>
      <c r="R47" s="32"/>
      <c r="S47" s="32">
        <f t="shared" si="6"/>
        <v>0</v>
      </c>
      <c r="T47" s="33"/>
      <c r="U47" s="35">
        <f t="shared" si="7"/>
        <v>0</v>
      </c>
      <c r="V47" s="32">
        <f t="shared" si="8"/>
        <v>0</v>
      </c>
      <c r="W47" s="32">
        <f t="shared" si="9"/>
        <v>0</v>
      </c>
    </row>
    <row r="48" spans="1:23" ht="45">
      <c r="A48" s="23">
        <v>43</v>
      </c>
      <c r="B48" s="42" t="s">
        <v>203</v>
      </c>
      <c r="C48" s="3"/>
      <c r="D48" s="15"/>
      <c r="E48" s="72" t="s">
        <v>1</v>
      </c>
      <c r="F48" s="71">
        <v>300</v>
      </c>
      <c r="G48" s="73">
        <v>1.61</v>
      </c>
      <c r="H48" s="73">
        <f t="shared" si="0"/>
        <v>483.00000000000006</v>
      </c>
      <c r="I48" s="74">
        <v>0.23</v>
      </c>
      <c r="J48" s="73">
        <f t="shared" si="1"/>
        <v>111.09000000000002</v>
      </c>
      <c r="K48" s="73">
        <f t="shared" si="2"/>
        <v>594.09</v>
      </c>
      <c r="L48" s="73">
        <f t="shared" si="3"/>
        <v>1.9803000000000002</v>
      </c>
      <c r="M48" s="75">
        <f>10+10+20+12+10+10+12+4+10+4+10+4+10+2+10+3+6+15+10+6</f>
        <v>178</v>
      </c>
      <c r="N48" s="76">
        <f t="shared" si="4"/>
        <v>352.49340000000001</v>
      </c>
      <c r="O48" s="75">
        <f>10+12+10+20+10+10+12+4+10+10+10+4+4+2+10+3+6+15+10+6</f>
        <v>178</v>
      </c>
      <c r="P48" s="76">
        <f t="shared" si="5"/>
        <v>352.49340000000001</v>
      </c>
      <c r="Q48" s="75">
        <v>320</v>
      </c>
      <c r="R48" s="32"/>
      <c r="S48" s="32">
        <f t="shared" si="6"/>
        <v>0</v>
      </c>
      <c r="T48" s="33"/>
      <c r="U48" s="35">
        <f t="shared" si="7"/>
        <v>0</v>
      </c>
      <c r="V48" s="32">
        <f t="shared" si="8"/>
        <v>0</v>
      </c>
      <c r="W48" s="32">
        <f t="shared" si="9"/>
        <v>0</v>
      </c>
    </row>
    <row r="49" spans="1:23" ht="45">
      <c r="A49" s="23">
        <v>44</v>
      </c>
      <c r="B49" s="42" t="s">
        <v>35</v>
      </c>
      <c r="C49" s="3"/>
      <c r="D49" s="15"/>
      <c r="E49" s="72" t="s">
        <v>1</v>
      </c>
      <c r="F49" s="71">
        <v>30</v>
      </c>
      <c r="G49" s="73">
        <v>3.3</v>
      </c>
      <c r="H49" s="73">
        <f t="shared" si="0"/>
        <v>99</v>
      </c>
      <c r="I49" s="74">
        <v>0.23</v>
      </c>
      <c r="J49" s="73">
        <f t="shared" si="1"/>
        <v>22.77</v>
      </c>
      <c r="K49" s="73">
        <f t="shared" si="2"/>
        <v>121.77</v>
      </c>
      <c r="L49" s="73">
        <f t="shared" si="3"/>
        <v>4.0590000000000002</v>
      </c>
      <c r="M49" s="75">
        <f>3+5+2+2</f>
        <v>12</v>
      </c>
      <c r="N49" s="76">
        <f t="shared" si="4"/>
        <v>48.707999999999998</v>
      </c>
      <c r="O49" s="75">
        <f>3+5+2+2</f>
        <v>12</v>
      </c>
      <c r="P49" s="76">
        <f t="shared" si="5"/>
        <v>48.707999999999998</v>
      </c>
      <c r="Q49" s="75">
        <v>15</v>
      </c>
      <c r="R49" s="32"/>
      <c r="S49" s="32">
        <f t="shared" si="6"/>
        <v>0</v>
      </c>
      <c r="T49" s="33"/>
      <c r="U49" s="35">
        <f t="shared" si="7"/>
        <v>0</v>
      </c>
      <c r="V49" s="32">
        <f t="shared" si="8"/>
        <v>0</v>
      </c>
      <c r="W49" s="32">
        <f t="shared" si="9"/>
        <v>0</v>
      </c>
    </row>
    <row r="50" spans="1:23" s="41" customFormat="1" ht="30">
      <c r="A50" s="23">
        <v>45</v>
      </c>
      <c r="B50" s="42" t="s">
        <v>36</v>
      </c>
      <c r="C50" s="36"/>
      <c r="D50" s="37"/>
      <c r="E50" s="72" t="s">
        <v>22</v>
      </c>
      <c r="F50" s="71">
        <v>6</v>
      </c>
      <c r="G50" s="77">
        <v>10.53</v>
      </c>
      <c r="H50" s="77">
        <f t="shared" si="0"/>
        <v>63.179999999999993</v>
      </c>
      <c r="I50" s="78">
        <v>0.23</v>
      </c>
      <c r="J50" s="77">
        <f t="shared" si="1"/>
        <v>14.5314</v>
      </c>
      <c r="K50" s="77">
        <f t="shared" si="2"/>
        <v>77.711399999999998</v>
      </c>
      <c r="L50" s="77">
        <f t="shared" si="3"/>
        <v>12.951899999999998</v>
      </c>
      <c r="M50" s="79">
        <f>2</f>
        <v>2</v>
      </c>
      <c r="N50" s="80">
        <f t="shared" si="4"/>
        <v>25.903799999999997</v>
      </c>
      <c r="O50" s="79">
        <f>2</f>
        <v>2</v>
      </c>
      <c r="P50" s="80">
        <f t="shared" si="5"/>
        <v>25.903799999999997</v>
      </c>
      <c r="Q50" s="79">
        <v>3</v>
      </c>
      <c r="R50" s="38"/>
      <c r="S50" s="38">
        <f t="shared" si="6"/>
        <v>0</v>
      </c>
      <c r="T50" s="39"/>
      <c r="U50" s="40">
        <f t="shared" si="7"/>
        <v>0</v>
      </c>
      <c r="V50" s="38">
        <f t="shared" si="8"/>
        <v>0</v>
      </c>
      <c r="W50" s="32">
        <f t="shared" si="9"/>
        <v>0</v>
      </c>
    </row>
    <row r="51" spans="1:23" ht="30">
      <c r="A51" s="23">
        <v>46</v>
      </c>
      <c r="B51" s="42" t="s">
        <v>181</v>
      </c>
      <c r="C51" s="3"/>
      <c r="D51" s="3"/>
      <c r="E51" s="81" t="s">
        <v>22</v>
      </c>
      <c r="F51" s="71">
        <v>6</v>
      </c>
      <c r="G51" s="73">
        <v>9.06</v>
      </c>
      <c r="H51" s="73">
        <f t="shared" si="0"/>
        <v>54.36</v>
      </c>
      <c r="I51" s="74">
        <v>0.23</v>
      </c>
      <c r="J51" s="73">
        <f t="shared" si="1"/>
        <v>12.502800000000001</v>
      </c>
      <c r="K51" s="73">
        <f t="shared" si="2"/>
        <v>66.862799999999993</v>
      </c>
      <c r="L51" s="73">
        <f t="shared" si="3"/>
        <v>11.143800000000001</v>
      </c>
      <c r="M51" s="75"/>
      <c r="N51" s="76">
        <f t="shared" si="4"/>
        <v>0</v>
      </c>
      <c r="O51" s="75"/>
      <c r="P51" s="76">
        <f t="shared" si="5"/>
        <v>0</v>
      </c>
      <c r="Q51" s="75">
        <v>2</v>
      </c>
      <c r="R51" s="32"/>
      <c r="S51" s="32">
        <f t="shared" si="6"/>
        <v>0</v>
      </c>
      <c r="T51" s="33"/>
      <c r="U51" s="32">
        <f t="shared" ref="U51:U54" si="10">R51+T51</f>
        <v>0</v>
      </c>
      <c r="V51" s="32">
        <f t="shared" ref="V51:V54" si="11">S51+S51*T51</f>
        <v>0</v>
      </c>
      <c r="W51" s="32">
        <f t="shared" si="9"/>
        <v>0</v>
      </c>
    </row>
    <row r="52" spans="1:23" ht="30">
      <c r="A52" s="23">
        <v>47</v>
      </c>
      <c r="B52" s="42" t="s">
        <v>182</v>
      </c>
      <c r="C52" s="3"/>
      <c r="D52" s="3"/>
      <c r="E52" s="81" t="s">
        <v>22</v>
      </c>
      <c r="F52" s="71">
        <v>20</v>
      </c>
      <c r="G52" s="73">
        <v>9.43</v>
      </c>
      <c r="H52" s="73">
        <f t="shared" si="0"/>
        <v>188.6</v>
      </c>
      <c r="I52" s="74">
        <v>0.23</v>
      </c>
      <c r="J52" s="73">
        <f t="shared" si="1"/>
        <v>43.378</v>
      </c>
      <c r="K52" s="73">
        <f t="shared" si="2"/>
        <v>231.97800000000001</v>
      </c>
      <c r="L52" s="73">
        <f t="shared" si="3"/>
        <v>11.5989</v>
      </c>
      <c r="M52" s="75">
        <f>20</f>
        <v>20</v>
      </c>
      <c r="N52" s="76">
        <f t="shared" si="4"/>
        <v>231.97800000000001</v>
      </c>
      <c r="O52" s="75">
        <f>20</f>
        <v>20</v>
      </c>
      <c r="P52" s="76">
        <f t="shared" si="5"/>
        <v>231.97800000000001</v>
      </c>
      <c r="Q52" s="75">
        <v>23</v>
      </c>
      <c r="R52" s="32"/>
      <c r="S52" s="32">
        <f t="shared" si="6"/>
        <v>0</v>
      </c>
      <c r="T52" s="33"/>
      <c r="U52" s="32">
        <f t="shared" si="10"/>
        <v>0</v>
      </c>
      <c r="V52" s="32">
        <f t="shared" si="11"/>
        <v>0</v>
      </c>
      <c r="W52" s="32">
        <f t="shared" si="9"/>
        <v>0</v>
      </c>
    </row>
    <row r="53" spans="1:23" ht="30">
      <c r="A53" s="23">
        <v>48</v>
      </c>
      <c r="B53" s="42" t="s">
        <v>183</v>
      </c>
      <c r="C53" s="3"/>
      <c r="D53" s="3"/>
      <c r="E53" s="81" t="s">
        <v>1</v>
      </c>
      <c r="F53" s="71">
        <v>2</v>
      </c>
      <c r="G53" s="73">
        <v>13.4</v>
      </c>
      <c r="H53" s="73">
        <f t="shared" si="0"/>
        <v>26.8</v>
      </c>
      <c r="I53" s="74">
        <v>0.23</v>
      </c>
      <c r="J53" s="73">
        <f t="shared" si="1"/>
        <v>6.1640000000000006</v>
      </c>
      <c r="K53" s="73">
        <f t="shared" si="2"/>
        <v>32.963999999999999</v>
      </c>
      <c r="L53" s="73">
        <f t="shared" si="3"/>
        <v>16.481999999999999</v>
      </c>
      <c r="M53" s="75">
        <f>2</f>
        <v>2</v>
      </c>
      <c r="N53" s="76">
        <f t="shared" si="4"/>
        <v>32.963999999999999</v>
      </c>
      <c r="O53" s="75">
        <f>2</f>
        <v>2</v>
      </c>
      <c r="P53" s="76">
        <f t="shared" si="5"/>
        <v>32.963999999999999</v>
      </c>
      <c r="Q53" s="75">
        <v>2</v>
      </c>
      <c r="R53" s="32"/>
      <c r="S53" s="32">
        <f t="shared" si="6"/>
        <v>0</v>
      </c>
      <c r="T53" s="33"/>
      <c r="U53" s="32">
        <f t="shared" si="10"/>
        <v>0</v>
      </c>
      <c r="V53" s="32">
        <f t="shared" si="11"/>
        <v>0</v>
      </c>
      <c r="W53" s="32">
        <f t="shared" si="9"/>
        <v>0</v>
      </c>
    </row>
    <row r="54" spans="1:23">
      <c r="A54" s="23">
        <v>49</v>
      </c>
      <c r="B54" s="42" t="s">
        <v>184</v>
      </c>
      <c r="C54" s="3"/>
      <c r="D54" s="3"/>
      <c r="E54" s="82" t="s">
        <v>1</v>
      </c>
      <c r="F54" s="71">
        <v>2</v>
      </c>
      <c r="G54" s="73">
        <v>13.3</v>
      </c>
      <c r="H54" s="73">
        <f t="shared" si="0"/>
        <v>26.6</v>
      </c>
      <c r="I54" s="74">
        <v>0.23</v>
      </c>
      <c r="J54" s="73">
        <f t="shared" si="1"/>
        <v>6.1180000000000003</v>
      </c>
      <c r="K54" s="73">
        <f t="shared" si="2"/>
        <v>32.718000000000004</v>
      </c>
      <c r="L54" s="73">
        <f t="shared" si="3"/>
        <v>16.359000000000002</v>
      </c>
      <c r="M54" s="75">
        <f>1</f>
        <v>1</v>
      </c>
      <c r="N54" s="76">
        <f t="shared" si="4"/>
        <v>16.359000000000002</v>
      </c>
      <c r="O54" s="75">
        <f>1</f>
        <v>1</v>
      </c>
      <c r="P54" s="76">
        <f t="shared" si="5"/>
        <v>16.359000000000002</v>
      </c>
      <c r="Q54" s="75">
        <v>2</v>
      </c>
      <c r="R54" s="32"/>
      <c r="S54" s="32">
        <f t="shared" si="6"/>
        <v>0</v>
      </c>
      <c r="T54" s="33"/>
      <c r="U54" s="32">
        <f t="shared" si="10"/>
        <v>0</v>
      </c>
      <c r="V54" s="32">
        <f t="shared" si="11"/>
        <v>0</v>
      </c>
      <c r="W54" s="32">
        <f t="shared" si="9"/>
        <v>0</v>
      </c>
    </row>
    <row r="55" spans="1:23" s="41" customFormat="1" ht="30">
      <c r="A55" s="23">
        <v>50</v>
      </c>
      <c r="B55" s="42" t="s">
        <v>37</v>
      </c>
      <c r="C55" s="36"/>
      <c r="D55" s="37"/>
      <c r="E55" s="72" t="s">
        <v>22</v>
      </c>
      <c r="F55" s="71">
        <v>8</v>
      </c>
      <c r="G55" s="77">
        <v>20.32</v>
      </c>
      <c r="H55" s="77">
        <f t="shared" si="0"/>
        <v>162.56</v>
      </c>
      <c r="I55" s="78">
        <v>0.23</v>
      </c>
      <c r="J55" s="77">
        <f t="shared" si="1"/>
        <v>37.388800000000003</v>
      </c>
      <c r="K55" s="77">
        <f t="shared" si="2"/>
        <v>199.94880000000001</v>
      </c>
      <c r="L55" s="77">
        <f t="shared" si="3"/>
        <v>24.993600000000001</v>
      </c>
      <c r="M55" s="79">
        <f>2</f>
        <v>2</v>
      </c>
      <c r="N55" s="80">
        <f t="shared" si="4"/>
        <v>49.987200000000001</v>
      </c>
      <c r="O55" s="79">
        <f>2</f>
        <v>2</v>
      </c>
      <c r="P55" s="80">
        <f t="shared" si="5"/>
        <v>49.987200000000001</v>
      </c>
      <c r="Q55" s="79">
        <v>3</v>
      </c>
      <c r="R55" s="38"/>
      <c r="S55" s="38">
        <f t="shared" si="6"/>
        <v>0</v>
      </c>
      <c r="T55" s="39"/>
      <c r="U55" s="40">
        <f t="shared" si="7"/>
        <v>0</v>
      </c>
      <c r="V55" s="38">
        <f t="shared" si="8"/>
        <v>0</v>
      </c>
      <c r="W55" s="38">
        <f t="shared" si="9"/>
        <v>0</v>
      </c>
    </row>
    <row r="56" spans="1:23" ht="45">
      <c r="A56" s="23">
        <v>51</v>
      </c>
      <c r="B56" s="42" t="s">
        <v>204</v>
      </c>
      <c r="C56" s="3"/>
      <c r="D56" s="15"/>
      <c r="E56" s="72" t="s">
        <v>1</v>
      </c>
      <c r="F56" s="71">
        <v>40</v>
      </c>
      <c r="G56" s="73">
        <v>7.36</v>
      </c>
      <c r="H56" s="73">
        <f t="shared" si="0"/>
        <v>294.40000000000003</v>
      </c>
      <c r="I56" s="74">
        <v>0.23</v>
      </c>
      <c r="J56" s="73">
        <f t="shared" si="1"/>
        <v>67.712000000000018</v>
      </c>
      <c r="K56" s="73">
        <f t="shared" si="2"/>
        <v>362.11200000000008</v>
      </c>
      <c r="L56" s="73">
        <f t="shared" si="3"/>
        <v>9.0528000000000013</v>
      </c>
      <c r="M56" s="75">
        <f>2+2+2+6+2+5+1+1</f>
        <v>21</v>
      </c>
      <c r="N56" s="76">
        <f t="shared" si="4"/>
        <v>190.10880000000003</v>
      </c>
      <c r="O56" s="75">
        <f>2+2+2+6+2+1+5</f>
        <v>20</v>
      </c>
      <c r="P56" s="76">
        <f t="shared" si="5"/>
        <v>181.05600000000004</v>
      </c>
      <c r="Q56" s="75">
        <v>25</v>
      </c>
      <c r="R56" s="32"/>
      <c r="S56" s="32">
        <f t="shared" si="6"/>
        <v>0</v>
      </c>
      <c r="T56" s="33"/>
      <c r="U56" s="35">
        <f t="shared" si="7"/>
        <v>0</v>
      </c>
      <c r="V56" s="32">
        <f t="shared" si="8"/>
        <v>0</v>
      </c>
      <c r="W56" s="32">
        <f t="shared" si="9"/>
        <v>0</v>
      </c>
    </row>
    <row r="57" spans="1:23" ht="45">
      <c r="A57" s="23">
        <v>52</v>
      </c>
      <c r="B57" s="42" t="s">
        <v>205</v>
      </c>
      <c r="C57" s="3"/>
      <c r="D57" s="15"/>
      <c r="E57" s="72" t="s">
        <v>1</v>
      </c>
      <c r="F57" s="71">
        <v>10</v>
      </c>
      <c r="G57" s="73">
        <v>58</v>
      </c>
      <c r="H57" s="73">
        <f t="shared" si="0"/>
        <v>580</v>
      </c>
      <c r="I57" s="74">
        <v>0.23</v>
      </c>
      <c r="J57" s="73">
        <f t="shared" si="1"/>
        <v>133.4</v>
      </c>
      <c r="K57" s="73">
        <f t="shared" si="2"/>
        <v>713.4</v>
      </c>
      <c r="L57" s="73">
        <f t="shared" si="3"/>
        <v>71.34</v>
      </c>
      <c r="M57" s="75">
        <f>1+1+1</f>
        <v>3</v>
      </c>
      <c r="N57" s="76">
        <f t="shared" si="4"/>
        <v>214.02</v>
      </c>
      <c r="O57" s="75">
        <f>1+1+1</f>
        <v>3</v>
      </c>
      <c r="P57" s="76">
        <f t="shared" si="5"/>
        <v>214.02</v>
      </c>
      <c r="Q57" s="75">
        <v>4</v>
      </c>
      <c r="R57" s="32"/>
      <c r="S57" s="32">
        <f t="shared" si="6"/>
        <v>0</v>
      </c>
      <c r="T57" s="33"/>
      <c r="U57" s="35">
        <f t="shared" si="7"/>
        <v>0</v>
      </c>
      <c r="V57" s="32">
        <f t="shared" si="8"/>
        <v>0</v>
      </c>
      <c r="W57" s="32">
        <f t="shared" si="9"/>
        <v>0</v>
      </c>
    </row>
    <row r="58" spans="1:23" ht="30">
      <c r="A58" s="23">
        <v>53</v>
      </c>
      <c r="B58" s="42" t="s">
        <v>146</v>
      </c>
      <c r="C58" s="3"/>
      <c r="D58" s="15"/>
      <c r="E58" s="72" t="s">
        <v>2</v>
      </c>
      <c r="F58" s="71">
        <v>10</v>
      </c>
      <c r="G58" s="73">
        <v>5.18</v>
      </c>
      <c r="H58" s="73">
        <f t="shared" si="0"/>
        <v>51.8</v>
      </c>
      <c r="I58" s="74">
        <v>0.23</v>
      </c>
      <c r="J58" s="73">
        <f t="shared" si="1"/>
        <v>11.914</v>
      </c>
      <c r="K58" s="73">
        <f t="shared" si="2"/>
        <v>63.713999999999999</v>
      </c>
      <c r="L58" s="73">
        <f t="shared" si="3"/>
        <v>6.3713999999999995</v>
      </c>
      <c r="M58" s="75">
        <f>1+1+5+5+1</f>
        <v>13</v>
      </c>
      <c r="N58" s="76">
        <f t="shared" si="4"/>
        <v>82.828199999999995</v>
      </c>
      <c r="O58" s="75">
        <f>1+1+5+5+1</f>
        <v>13</v>
      </c>
      <c r="P58" s="76">
        <f t="shared" si="5"/>
        <v>82.828199999999995</v>
      </c>
      <c r="Q58" s="75">
        <v>15</v>
      </c>
      <c r="R58" s="32"/>
      <c r="S58" s="32">
        <f t="shared" si="6"/>
        <v>0</v>
      </c>
      <c r="T58" s="33"/>
      <c r="U58" s="35">
        <f t="shared" si="7"/>
        <v>0</v>
      </c>
      <c r="V58" s="32">
        <f t="shared" si="8"/>
        <v>0</v>
      </c>
      <c r="W58" s="32">
        <f t="shared" si="9"/>
        <v>0</v>
      </c>
    </row>
    <row r="59" spans="1:23" ht="30">
      <c r="A59" s="23">
        <v>54</v>
      </c>
      <c r="B59" s="42" t="s">
        <v>169</v>
      </c>
      <c r="C59" s="3"/>
      <c r="D59" s="15"/>
      <c r="E59" s="72" t="s">
        <v>2</v>
      </c>
      <c r="F59" s="71">
        <v>20</v>
      </c>
      <c r="G59" s="73">
        <v>7</v>
      </c>
      <c r="H59" s="73">
        <f t="shared" si="0"/>
        <v>140</v>
      </c>
      <c r="I59" s="74">
        <v>0.23</v>
      </c>
      <c r="J59" s="73">
        <f t="shared" si="1"/>
        <v>32.200000000000003</v>
      </c>
      <c r="K59" s="73">
        <f t="shared" si="2"/>
        <v>172.2</v>
      </c>
      <c r="L59" s="73">
        <f t="shared" si="3"/>
        <v>8.61</v>
      </c>
      <c r="M59" s="75">
        <f>1+1+1+1+2</f>
        <v>6</v>
      </c>
      <c r="N59" s="76">
        <f t="shared" si="4"/>
        <v>51.66</v>
      </c>
      <c r="O59" s="75">
        <f>1+1+1+1+2</f>
        <v>6</v>
      </c>
      <c r="P59" s="76">
        <f t="shared" si="5"/>
        <v>51.66</v>
      </c>
      <c r="Q59" s="75">
        <v>8</v>
      </c>
      <c r="R59" s="32"/>
      <c r="S59" s="32">
        <f t="shared" si="6"/>
        <v>0</v>
      </c>
      <c r="T59" s="33"/>
      <c r="U59" s="35">
        <f t="shared" si="7"/>
        <v>0</v>
      </c>
      <c r="V59" s="32">
        <f t="shared" si="8"/>
        <v>0</v>
      </c>
      <c r="W59" s="32">
        <f t="shared" si="9"/>
        <v>0</v>
      </c>
    </row>
    <row r="60" spans="1:23" ht="30">
      <c r="A60" s="23">
        <v>55</v>
      </c>
      <c r="B60" s="42" t="s">
        <v>170</v>
      </c>
      <c r="C60" s="3"/>
      <c r="D60" s="15"/>
      <c r="E60" s="72" t="s">
        <v>2</v>
      </c>
      <c r="F60" s="71">
        <v>10</v>
      </c>
      <c r="G60" s="73">
        <v>7</v>
      </c>
      <c r="H60" s="73">
        <f t="shared" si="0"/>
        <v>70</v>
      </c>
      <c r="I60" s="74">
        <v>0.23</v>
      </c>
      <c r="J60" s="73">
        <f t="shared" si="1"/>
        <v>16.100000000000001</v>
      </c>
      <c r="K60" s="73">
        <f t="shared" si="2"/>
        <v>86.1</v>
      </c>
      <c r="L60" s="73">
        <f t="shared" si="3"/>
        <v>8.61</v>
      </c>
      <c r="M60" s="75">
        <f>2+1+1</f>
        <v>4</v>
      </c>
      <c r="N60" s="76">
        <f t="shared" si="4"/>
        <v>34.44</v>
      </c>
      <c r="O60" s="75">
        <f>2+1+1</f>
        <v>4</v>
      </c>
      <c r="P60" s="76">
        <f t="shared" si="5"/>
        <v>34.44</v>
      </c>
      <c r="Q60" s="75">
        <v>6</v>
      </c>
      <c r="R60" s="32"/>
      <c r="S60" s="32">
        <f t="shared" si="6"/>
        <v>0</v>
      </c>
      <c r="T60" s="33"/>
      <c r="U60" s="35">
        <f t="shared" si="7"/>
        <v>0</v>
      </c>
      <c r="V60" s="32">
        <f t="shared" si="8"/>
        <v>0</v>
      </c>
      <c r="W60" s="32">
        <f t="shared" si="9"/>
        <v>0</v>
      </c>
    </row>
    <row r="61" spans="1:23" ht="30">
      <c r="A61" s="23">
        <v>56</v>
      </c>
      <c r="B61" s="42" t="s">
        <v>38</v>
      </c>
      <c r="C61" s="3"/>
      <c r="D61" s="15"/>
      <c r="E61" s="72" t="s">
        <v>2</v>
      </c>
      <c r="F61" s="71">
        <v>5</v>
      </c>
      <c r="G61" s="73">
        <v>20.2</v>
      </c>
      <c r="H61" s="73">
        <f t="shared" si="0"/>
        <v>101</v>
      </c>
      <c r="I61" s="74">
        <v>0.23</v>
      </c>
      <c r="J61" s="73">
        <f t="shared" si="1"/>
        <v>23.23</v>
      </c>
      <c r="K61" s="73">
        <f t="shared" si="2"/>
        <v>124.23</v>
      </c>
      <c r="L61" s="73">
        <f t="shared" si="3"/>
        <v>24.846</v>
      </c>
      <c r="M61" s="75">
        <f>3+2+1+2+1+1+1+1+2+1</f>
        <v>15</v>
      </c>
      <c r="N61" s="76">
        <f t="shared" si="4"/>
        <v>372.69</v>
      </c>
      <c r="O61" s="75">
        <f>3+2+1+2+1+1+1+1+2+1</f>
        <v>15</v>
      </c>
      <c r="P61" s="76">
        <f t="shared" si="5"/>
        <v>372.69</v>
      </c>
      <c r="Q61" s="75">
        <v>30</v>
      </c>
      <c r="R61" s="32"/>
      <c r="S61" s="32">
        <f t="shared" si="6"/>
        <v>0</v>
      </c>
      <c r="T61" s="33"/>
      <c r="U61" s="35">
        <f t="shared" si="7"/>
        <v>0</v>
      </c>
      <c r="V61" s="32">
        <f t="shared" si="8"/>
        <v>0</v>
      </c>
      <c r="W61" s="32">
        <f t="shared" si="9"/>
        <v>0</v>
      </c>
    </row>
    <row r="62" spans="1:23" ht="30">
      <c r="A62" s="23">
        <v>57</v>
      </c>
      <c r="B62" s="42" t="s">
        <v>39</v>
      </c>
      <c r="C62" s="3"/>
      <c r="D62" s="15"/>
      <c r="E62" s="72" t="s">
        <v>2</v>
      </c>
      <c r="F62" s="71">
        <v>3</v>
      </c>
      <c r="G62" s="73">
        <v>40</v>
      </c>
      <c r="H62" s="73">
        <f t="shared" si="0"/>
        <v>120</v>
      </c>
      <c r="I62" s="74">
        <v>0.23</v>
      </c>
      <c r="J62" s="73">
        <f t="shared" si="1"/>
        <v>27.6</v>
      </c>
      <c r="K62" s="73">
        <f t="shared" si="2"/>
        <v>147.6</v>
      </c>
      <c r="L62" s="73">
        <f t="shared" si="3"/>
        <v>49.2</v>
      </c>
      <c r="M62" s="75">
        <f>2+1+2</f>
        <v>5</v>
      </c>
      <c r="N62" s="76">
        <f t="shared" si="4"/>
        <v>246</v>
      </c>
      <c r="O62" s="75">
        <f>2+1+2</f>
        <v>5</v>
      </c>
      <c r="P62" s="76">
        <f t="shared" si="5"/>
        <v>246</v>
      </c>
      <c r="Q62" s="75">
        <v>7</v>
      </c>
      <c r="R62" s="32"/>
      <c r="S62" s="32">
        <f t="shared" si="6"/>
        <v>0</v>
      </c>
      <c r="T62" s="33"/>
      <c r="U62" s="35">
        <f t="shared" si="7"/>
        <v>0</v>
      </c>
      <c r="V62" s="32">
        <f t="shared" si="8"/>
        <v>0</v>
      </c>
      <c r="W62" s="32">
        <f t="shared" si="9"/>
        <v>0</v>
      </c>
    </row>
    <row r="63" spans="1:23">
      <c r="A63" s="23">
        <v>58</v>
      </c>
      <c r="B63" s="42" t="s">
        <v>40</v>
      </c>
      <c r="C63" s="3"/>
      <c r="D63" s="15"/>
      <c r="E63" s="72" t="s">
        <v>1</v>
      </c>
      <c r="F63" s="71">
        <v>2</v>
      </c>
      <c r="G63" s="73">
        <v>14</v>
      </c>
      <c r="H63" s="73">
        <f t="shared" ref="H63:H108" si="12">F63*G63</f>
        <v>28</v>
      </c>
      <c r="I63" s="74">
        <v>0.23</v>
      </c>
      <c r="J63" s="73">
        <f t="shared" ref="J63:J108" si="13">H63*I63</f>
        <v>6.44</v>
      </c>
      <c r="K63" s="73">
        <f t="shared" ref="K63:K108" si="14">H63+J63</f>
        <v>34.44</v>
      </c>
      <c r="L63" s="73">
        <f t="shared" ref="L63:L108" si="15">G63*I63+G63</f>
        <v>17.22</v>
      </c>
      <c r="M63" s="75">
        <f>2+1</f>
        <v>3</v>
      </c>
      <c r="N63" s="76">
        <f t="shared" ref="N63:N108" si="16">M63*L63</f>
        <v>51.66</v>
      </c>
      <c r="O63" s="75">
        <f>2+1</f>
        <v>3</v>
      </c>
      <c r="P63" s="76">
        <f t="shared" ref="P63:P108" si="17">O63*L63</f>
        <v>51.66</v>
      </c>
      <c r="Q63" s="75">
        <v>4</v>
      </c>
      <c r="R63" s="32"/>
      <c r="S63" s="32">
        <f t="shared" ref="S63:S108" si="18">Q63*R63</f>
        <v>0</v>
      </c>
      <c r="T63" s="33"/>
      <c r="U63" s="35">
        <f t="shared" ref="U63:U105" si="19">S63*T63</f>
        <v>0</v>
      </c>
      <c r="V63" s="32">
        <f t="shared" ref="V63:V105" si="20">R63+T63</f>
        <v>0</v>
      </c>
      <c r="W63" s="32">
        <f t="shared" ref="W63:W108" si="21">S63+S63*T63</f>
        <v>0</v>
      </c>
    </row>
    <row r="64" spans="1:23" ht="45">
      <c r="A64" s="23">
        <v>59</v>
      </c>
      <c r="B64" s="42" t="s">
        <v>206</v>
      </c>
      <c r="C64" s="3"/>
      <c r="D64" s="15"/>
      <c r="E64" s="72" t="s">
        <v>1</v>
      </c>
      <c r="F64" s="71">
        <v>240</v>
      </c>
      <c r="G64" s="73">
        <v>2.7</v>
      </c>
      <c r="H64" s="73">
        <f t="shared" si="12"/>
        <v>648</v>
      </c>
      <c r="I64" s="74">
        <v>0.23</v>
      </c>
      <c r="J64" s="73">
        <f t="shared" si="13"/>
        <v>149.04000000000002</v>
      </c>
      <c r="K64" s="73">
        <f t="shared" si="14"/>
        <v>797.04</v>
      </c>
      <c r="L64" s="73">
        <f t="shared" si="15"/>
        <v>3.3210000000000002</v>
      </c>
      <c r="M64" s="75">
        <f>2+2+24+10+5+10+5+3+8+20+10+20+6+3+24+20+5+1</f>
        <v>178</v>
      </c>
      <c r="N64" s="76">
        <f t="shared" si="16"/>
        <v>591.13800000000003</v>
      </c>
      <c r="O64" s="75">
        <f>24+2+10+2+10+5+5+3+8+10+20+20+3+6+24+20+5+1</f>
        <v>178</v>
      </c>
      <c r="P64" s="76">
        <f t="shared" si="17"/>
        <v>591.13800000000003</v>
      </c>
      <c r="Q64" s="75">
        <v>185</v>
      </c>
      <c r="R64" s="32"/>
      <c r="S64" s="32">
        <f t="shared" si="18"/>
        <v>0</v>
      </c>
      <c r="T64" s="33"/>
      <c r="U64" s="35">
        <f t="shared" si="19"/>
        <v>0</v>
      </c>
      <c r="V64" s="32">
        <f t="shared" si="20"/>
        <v>0</v>
      </c>
      <c r="W64" s="32">
        <f t="shared" si="21"/>
        <v>0</v>
      </c>
    </row>
    <row r="65" spans="1:23" ht="45">
      <c r="A65" s="23">
        <v>60</v>
      </c>
      <c r="B65" s="42" t="s">
        <v>207</v>
      </c>
      <c r="C65" s="3"/>
      <c r="D65" s="15"/>
      <c r="E65" s="72" t="s">
        <v>2</v>
      </c>
      <c r="F65" s="71">
        <v>60</v>
      </c>
      <c r="G65" s="73">
        <v>1.6</v>
      </c>
      <c r="H65" s="73">
        <f t="shared" si="12"/>
        <v>96</v>
      </c>
      <c r="I65" s="74">
        <v>0.23</v>
      </c>
      <c r="J65" s="73">
        <f t="shared" si="13"/>
        <v>22.080000000000002</v>
      </c>
      <c r="K65" s="73">
        <f t="shared" si="14"/>
        <v>118.08</v>
      </c>
      <c r="L65" s="73">
        <f t="shared" si="15"/>
        <v>1.9680000000000002</v>
      </c>
      <c r="M65" s="75">
        <f>1+3+10+2+1+5+5+1+5+1</f>
        <v>34</v>
      </c>
      <c r="N65" s="76">
        <f t="shared" si="16"/>
        <v>66.912000000000006</v>
      </c>
      <c r="O65" s="75">
        <f>1+3+10+2+5+1+5+5+1</f>
        <v>33</v>
      </c>
      <c r="P65" s="76">
        <f t="shared" si="17"/>
        <v>64.944000000000003</v>
      </c>
      <c r="Q65" s="75">
        <v>140</v>
      </c>
      <c r="R65" s="32"/>
      <c r="S65" s="32">
        <f t="shared" si="18"/>
        <v>0</v>
      </c>
      <c r="T65" s="33"/>
      <c r="U65" s="35">
        <f t="shared" si="19"/>
        <v>0</v>
      </c>
      <c r="V65" s="32">
        <f t="shared" si="20"/>
        <v>0</v>
      </c>
      <c r="W65" s="32">
        <f t="shared" si="21"/>
        <v>0</v>
      </c>
    </row>
    <row r="66" spans="1:23" ht="30">
      <c r="A66" s="23">
        <v>61</v>
      </c>
      <c r="B66" s="42" t="s">
        <v>41</v>
      </c>
      <c r="C66" s="3"/>
      <c r="D66" s="15"/>
      <c r="E66" s="72" t="s">
        <v>1</v>
      </c>
      <c r="F66" s="71">
        <v>85</v>
      </c>
      <c r="G66" s="73">
        <v>0.8</v>
      </c>
      <c r="H66" s="73">
        <f t="shared" si="12"/>
        <v>68</v>
      </c>
      <c r="I66" s="74">
        <v>0.23</v>
      </c>
      <c r="J66" s="73">
        <f t="shared" si="13"/>
        <v>15.64</v>
      </c>
      <c r="K66" s="73">
        <f t="shared" si="14"/>
        <v>83.64</v>
      </c>
      <c r="L66" s="73">
        <f t="shared" si="15"/>
        <v>0.9840000000000001</v>
      </c>
      <c r="M66" s="75">
        <f>20+50+5+100+10+200+50+20+10</f>
        <v>465</v>
      </c>
      <c r="N66" s="76">
        <f t="shared" si="16"/>
        <v>457.56000000000006</v>
      </c>
      <c r="O66" s="75">
        <f>20+50+5+100+10+50+200+20+10</f>
        <v>465</v>
      </c>
      <c r="P66" s="76">
        <f t="shared" si="17"/>
        <v>457.56000000000006</v>
      </c>
      <c r="Q66" s="75">
        <v>470</v>
      </c>
      <c r="R66" s="32"/>
      <c r="S66" s="32">
        <f t="shared" si="18"/>
        <v>0</v>
      </c>
      <c r="T66" s="33"/>
      <c r="U66" s="35">
        <f t="shared" si="19"/>
        <v>0</v>
      </c>
      <c r="V66" s="32">
        <f t="shared" si="20"/>
        <v>0</v>
      </c>
      <c r="W66" s="32">
        <f t="shared" si="21"/>
        <v>0</v>
      </c>
    </row>
    <row r="67" spans="1:23" ht="30">
      <c r="A67" s="23">
        <v>62</v>
      </c>
      <c r="B67" s="42" t="s">
        <v>42</v>
      </c>
      <c r="C67" s="3"/>
      <c r="D67" s="15"/>
      <c r="E67" s="72" t="s">
        <v>1</v>
      </c>
      <c r="F67" s="71">
        <v>190</v>
      </c>
      <c r="G67" s="73">
        <v>0.23</v>
      </c>
      <c r="H67" s="73">
        <f t="shared" si="12"/>
        <v>43.7</v>
      </c>
      <c r="I67" s="74">
        <v>0.23</v>
      </c>
      <c r="J67" s="73">
        <f t="shared" si="13"/>
        <v>10.051000000000002</v>
      </c>
      <c r="K67" s="73">
        <f t="shared" si="14"/>
        <v>53.751000000000005</v>
      </c>
      <c r="L67" s="73">
        <f t="shared" si="15"/>
        <v>0.28290000000000004</v>
      </c>
      <c r="M67" s="75">
        <f>20+50+30+5+50+10+200+20+7</f>
        <v>392</v>
      </c>
      <c r="N67" s="76">
        <f t="shared" si="16"/>
        <v>110.89680000000001</v>
      </c>
      <c r="O67" s="75">
        <f>20+50+30+5+50+10+200+20+7</f>
        <v>392</v>
      </c>
      <c r="P67" s="76">
        <f t="shared" si="17"/>
        <v>110.89680000000001</v>
      </c>
      <c r="Q67" s="75">
        <v>400</v>
      </c>
      <c r="R67" s="32"/>
      <c r="S67" s="32">
        <f t="shared" si="18"/>
        <v>0</v>
      </c>
      <c r="T67" s="33"/>
      <c r="U67" s="35">
        <f t="shared" si="19"/>
        <v>0</v>
      </c>
      <c r="V67" s="32">
        <f t="shared" si="20"/>
        <v>0</v>
      </c>
      <c r="W67" s="32">
        <f t="shared" si="21"/>
        <v>0</v>
      </c>
    </row>
    <row r="68" spans="1:23" ht="45">
      <c r="A68" s="23">
        <v>63</v>
      </c>
      <c r="B68" s="42" t="s">
        <v>208</v>
      </c>
      <c r="C68" s="3"/>
      <c r="D68" s="15"/>
      <c r="E68" s="72" t="s">
        <v>1</v>
      </c>
      <c r="F68" s="71">
        <v>80</v>
      </c>
      <c r="G68" s="73">
        <v>2</v>
      </c>
      <c r="H68" s="73">
        <f t="shared" si="12"/>
        <v>160</v>
      </c>
      <c r="I68" s="74">
        <v>0.23</v>
      </c>
      <c r="J68" s="73">
        <f t="shared" si="13"/>
        <v>36.800000000000004</v>
      </c>
      <c r="K68" s="73">
        <f t="shared" si="14"/>
        <v>196.8</v>
      </c>
      <c r="L68" s="73">
        <f t="shared" si="15"/>
        <v>2.46</v>
      </c>
      <c r="M68" s="75">
        <f>10+2+2+10+6+5+2+5+1+30+5+5+8+5+3+2+5+6+3</f>
        <v>115</v>
      </c>
      <c r="N68" s="76">
        <f t="shared" si="16"/>
        <v>282.89999999999998</v>
      </c>
      <c r="O68" s="75">
        <f>10+6+2+10+2+5+2+5+1+26+4+5+5+5+8+3+2+5+6+3</f>
        <v>115</v>
      </c>
      <c r="P68" s="76">
        <f t="shared" si="17"/>
        <v>282.89999999999998</v>
      </c>
      <c r="Q68" s="75">
        <v>235</v>
      </c>
      <c r="R68" s="32"/>
      <c r="S68" s="32">
        <f t="shared" si="18"/>
        <v>0</v>
      </c>
      <c r="T68" s="33"/>
      <c r="U68" s="35">
        <f t="shared" si="19"/>
        <v>0</v>
      </c>
      <c r="V68" s="32">
        <f t="shared" si="20"/>
        <v>0</v>
      </c>
      <c r="W68" s="32">
        <f t="shared" si="21"/>
        <v>0</v>
      </c>
    </row>
    <row r="69" spans="1:23" ht="30">
      <c r="A69" s="23">
        <v>64</v>
      </c>
      <c r="B69" s="42" t="s">
        <v>209</v>
      </c>
      <c r="C69" s="3"/>
      <c r="D69" s="15"/>
      <c r="E69" s="72" t="s">
        <v>2</v>
      </c>
      <c r="F69" s="71">
        <v>20</v>
      </c>
      <c r="G69" s="73">
        <v>14.21</v>
      </c>
      <c r="H69" s="73">
        <f t="shared" si="12"/>
        <v>284.20000000000005</v>
      </c>
      <c r="I69" s="74">
        <v>0.23</v>
      </c>
      <c r="J69" s="73">
        <f t="shared" si="13"/>
        <v>65.366000000000014</v>
      </c>
      <c r="K69" s="73">
        <f t="shared" si="14"/>
        <v>349.56600000000003</v>
      </c>
      <c r="L69" s="73">
        <f t="shared" si="15"/>
        <v>17.478300000000001</v>
      </c>
      <c r="M69" s="75">
        <f>2+5+1+1+4+2+1+1+1+1+2+2+1+2</f>
        <v>26</v>
      </c>
      <c r="N69" s="76">
        <f t="shared" si="16"/>
        <v>454.43580000000003</v>
      </c>
      <c r="O69" s="75">
        <f>2+5+1+1+4+2+1+1+1+1+2+2+1+2</f>
        <v>26</v>
      </c>
      <c r="P69" s="76">
        <f t="shared" si="17"/>
        <v>454.43580000000003</v>
      </c>
      <c r="Q69" s="75">
        <v>28</v>
      </c>
      <c r="R69" s="32"/>
      <c r="S69" s="32">
        <f t="shared" si="18"/>
        <v>0</v>
      </c>
      <c r="T69" s="33"/>
      <c r="U69" s="35">
        <f t="shared" si="19"/>
        <v>0</v>
      </c>
      <c r="V69" s="32">
        <f t="shared" si="20"/>
        <v>0</v>
      </c>
      <c r="W69" s="32">
        <f t="shared" si="21"/>
        <v>0</v>
      </c>
    </row>
    <row r="70" spans="1:23" ht="30">
      <c r="A70" s="23">
        <v>65</v>
      </c>
      <c r="B70" s="42" t="s">
        <v>43</v>
      </c>
      <c r="C70" s="3"/>
      <c r="D70" s="15"/>
      <c r="E70" s="72" t="s">
        <v>2</v>
      </c>
      <c r="F70" s="71">
        <v>2</v>
      </c>
      <c r="G70" s="73">
        <v>8.8000000000000007</v>
      </c>
      <c r="H70" s="73">
        <f t="shared" si="12"/>
        <v>17.600000000000001</v>
      </c>
      <c r="I70" s="74">
        <v>0.23</v>
      </c>
      <c r="J70" s="73">
        <f t="shared" si="13"/>
        <v>4.0480000000000009</v>
      </c>
      <c r="K70" s="73">
        <f t="shared" si="14"/>
        <v>21.648000000000003</v>
      </c>
      <c r="L70" s="73">
        <f t="shared" si="15"/>
        <v>10.824000000000002</v>
      </c>
      <c r="M70" s="75"/>
      <c r="N70" s="76">
        <f t="shared" si="16"/>
        <v>0</v>
      </c>
      <c r="O70" s="75"/>
      <c r="P70" s="76">
        <f t="shared" si="17"/>
        <v>0</v>
      </c>
      <c r="Q70" s="75">
        <v>2</v>
      </c>
      <c r="R70" s="32"/>
      <c r="S70" s="32">
        <f t="shared" si="18"/>
        <v>0</v>
      </c>
      <c r="T70" s="33"/>
      <c r="U70" s="35">
        <f t="shared" si="19"/>
        <v>0</v>
      </c>
      <c r="V70" s="32">
        <f t="shared" si="20"/>
        <v>0</v>
      </c>
      <c r="W70" s="32">
        <f t="shared" si="21"/>
        <v>0</v>
      </c>
    </row>
    <row r="71" spans="1:23" ht="45">
      <c r="A71" s="23">
        <v>66</v>
      </c>
      <c r="B71" s="42" t="s">
        <v>171</v>
      </c>
      <c r="C71" s="10"/>
      <c r="D71" s="16"/>
      <c r="E71" s="72" t="s">
        <v>1</v>
      </c>
      <c r="F71" s="71">
        <v>15</v>
      </c>
      <c r="G71" s="73">
        <v>35.200000000000003</v>
      </c>
      <c r="H71" s="73">
        <f t="shared" si="12"/>
        <v>528</v>
      </c>
      <c r="I71" s="74">
        <v>0.23</v>
      </c>
      <c r="J71" s="73">
        <f t="shared" si="13"/>
        <v>121.44000000000001</v>
      </c>
      <c r="K71" s="73">
        <f t="shared" si="14"/>
        <v>649.44000000000005</v>
      </c>
      <c r="L71" s="73">
        <f t="shared" si="15"/>
        <v>43.296000000000006</v>
      </c>
      <c r="M71" s="75">
        <f>1+2+2+1+1+1+2+1+1+1+2+1+2+2+1</f>
        <v>21</v>
      </c>
      <c r="N71" s="76">
        <f t="shared" si="16"/>
        <v>909.21600000000012</v>
      </c>
      <c r="O71" s="75">
        <f>1+2+2+1+1+2+1+1+1+1+2+1+2+2+1</f>
        <v>21</v>
      </c>
      <c r="P71" s="76">
        <f t="shared" si="17"/>
        <v>909.21600000000012</v>
      </c>
      <c r="Q71" s="75">
        <v>40</v>
      </c>
      <c r="R71" s="32"/>
      <c r="S71" s="32">
        <f t="shared" si="18"/>
        <v>0</v>
      </c>
      <c r="T71" s="33"/>
      <c r="U71" s="35">
        <f t="shared" si="19"/>
        <v>0</v>
      </c>
      <c r="V71" s="32">
        <f t="shared" si="20"/>
        <v>0</v>
      </c>
      <c r="W71" s="32">
        <f t="shared" si="21"/>
        <v>0</v>
      </c>
    </row>
    <row r="72" spans="1:23" ht="45">
      <c r="A72" s="23">
        <v>67</v>
      </c>
      <c r="B72" s="42" t="s">
        <v>44</v>
      </c>
      <c r="C72" s="3"/>
      <c r="D72" s="15"/>
      <c r="E72" s="72" t="s">
        <v>1</v>
      </c>
      <c r="F72" s="71">
        <v>95</v>
      </c>
      <c r="G72" s="73">
        <v>0.4</v>
      </c>
      <c r="H72" s="73">
        <f t="shared" si="12"/>
        <v>38</v>
      </c>
      <c r="I72" s="74">
        <v>0.23</v>
      </c>
      <c r="J72" s="73">
        <f t="shared" si="13"/>
        <v>8.74</v>
      </c>
      <c r="K72" s="73">
        <f t="shared" si="14"/>
        <v>46.74</v>
      </c>
      <c r="L72" s="73">
        <f t="shared" si="15"/>
        <v>0.49200000000000005</v>
      </c>
      <c r="M72" s="75">
        <f>5+5+5+6+5+5+2+10+2+5+5+1+2+2+2+2</f>
        <v>64</v>
      </c>
      <c r="N72" s="76">
        <f t="shared" si="16"/>
        <v>31.488000000000003</v>
      </c>
      <c r="O72" s="75">
        <f>5+6+5+5+5+5+2+10+5+1+5+2+2+2+2+2</f>
        <v>64</v>
      </c>
      <c r="P72" s="76">
        <f t="shared" si="17"/>
        <v>31.488000000000003</v>
      </c>
      <c r="Q72" s="75">
        <v>80</v>
      </c>
      <c r="R72" s="32"/>
      <c r="S72" s="32">
        <f t="shared" si="18"/>
        <v>0</v>
      </c>
      <c r="T72" s="33"/>
      <c r="U72" s="35">
        <f t="shared" si="19"/>
        <v>0</v>
      </c>
      <c r="V72" s="32">
        <f t="shared" si="20"/>
        <v>0</v>
      </c>
      <c r="W72" s="32">
        <f t="shared" si="21"/>
        <v>0</v>
      </c>
    </row>
    <row r="73" spans="1:23" ht="45">
      <c r="A73" s="23">
        <v>68</v>
      </c>
      <c r="B73" s="42" t="s">
        <v>45</v>
      </c>
      <c r="C73" s="3"/>
      <c r="D73" s="15"/>
      <c r="E73" s="72" t="s">
        <v>1</v>
      </c>
      <c r="F73" s="71">
        <v>40</v>
      </c>
      <c r="G73" s="73">
        <v>12.12</v>
      </c>
      <c r="H73" s="73">
        <f t="shared" si="12"/>
        <v>484.79999999999995</v>
      </c>
      <c r="I73" s="74">
        <v>0.23</v>
      </c>
      <c r="J73" s="73">
        <f t="shared" si="13"/>
        <v>111.50399999999999</v>
      </c>
      <c r="K73" s="73">
        <f t="shared" si="14"/>
        <v>596.30399999999997</v>
      </c>
      <c r="L73" s="73">
        <f t="shared" si="15"/>
        <v>14.907599999999999</v>
      </c>
      <c r="M73" s="75">
        <f>6+5+3+2+1+2+3+2+1</f>
        <v>25</v>
      </c>
      <c r="N73" s="76">
        <f t="shared" si="16"/>
        <v>372.68999999999994</v>
      </c>
      <c r="O73" s="75">
        <f>6+5+3+2+1+2+3+2+1</f>
        <v>25</v>
      </c>
      <c r="P73" s="76">
        <f t="shared" si="17"/>
        <v>372.68999999999994</v>
      </c>
      <c r="Q73" s="75">
        <v>50</v>
      </c>
      <c r="R73" s="32"/>
      <c r="S73" s="32">
        <f t="shared" si="18"/>
        <v>0</v>
      </c>
      <c r="T73" s="33"/>
      <c r="U73" s="35">
        <f t="shared" si="19"/>
        <v>0</v>
      </c>
      <c r="V73" s="32">
        <f t="shared" si="20"/>
        <v>0</v>
      </c>
      <c r="W73" s="32">
        <f t="shared" si="21"/>
        <v>0</v>
      </c>
    </row>
    <row r="74" spans="1:23">
      <c r="A74" s="23">
        <v>69</v>
      </c>
      <c r="B74" s="42" t="s">
        <v>46</v>
      </c>
      <c r="C74" s="3"/>
      <c r="D74" s="15"/>
      <c r="E74" s="72" t="s">
        <v>2</v>
      </c>
      <c r="F74" s="71">
        <v>120</v>
      </c>
      <c r="G74" s="73">
        <v>0.81</v>
      </c>
      <c r="H74" s="73">
        <f t="shared" si="12"/>
        <v>97.2</v>
      </c>
      <c r="I74" s="74">
        <v>0.23</v>
      </c>
      <c r="J74" s="73">
        <f t="shared" si="13"/>
        <v>22.356000000000002</v>
      </c>
      <c r="K74" s="73">
        <f t="shared" si="14"/>
        <v>119.55600000000001</v>
      </c>
      <c r="L74" s="73">
        <f t="shared" si="15"/>
        <v>0.99630000000000007</v>
      </c>
      <c r="M74" s="75">
        <f>5+15+10+3+6+5+10+5+1+1+10+6+5+3+2+10+3+2+5+3+10+10+2+10+5+2+10+4</f>
        <v>163</v>
      </c>
      <c r="N74" s="76">
        <f t="shared" si="16"/>
        <v>162.39690000000002</v>
      </c>
      <c r="O74" s="75">
        <f>5+10+15+6+3+2+5+5+8+1+10+1+6+5+3+2+3+10+2+3+5+10+10+2+5+10+2+10+4</f>
        <v>163</v>
      </c>
      <c r="P74" s="76">
        <f t="shared" si="17"/>
        <v>162.39690000000002</v>
      </c>
      <c r="Q74" s="75">
        <v>170</v>
      </c>
      <c r="R74" s="32"/>
      <c r="S74" s="32">
        <f t="shared" si="18"/>
        <v>0</v>
      </c>
      <c r="T74" s="33"/>
      <c r="U74" s="35">
        <f t="shared" si="19"/>
        <v>0</v>
      </c>
      <c r="V74" s="32">
        <f t="shared" si="20"/>
        <v>0</v>
      </c>
      <c r="W74" s="32">
        <f t="shared" si="21"/>
        <v>0</v>
      </c>
    </row>
    <row r="75" spans="1:23">
      <c r="A75" s="23">
        <v>70</v>
      </c>
      <c r="B75" s="42" t="s">
        <v>47</v>
      </c>
      <c r="C75" s="3"/>
      <c r="D75" s="15"/>
      <c r="E75" s="72" t="s">
        <v>2</v>
      </c>
      <c r="F75" s="71">
        <v>110</v>
      </c>
      <c r="G75" s="73">
        <v>1.67</v>
      </c>
      <c r="H75" s="73">
        <f t="shared" si="12"/>
        <v>183.7</v>
      </c>
      <c r="I75" s="74">
        <v>0.23</v>
      </c>
      <c r="J75" s="73">
        <f t="shared" si="13"/>
        <v>42.250999999999998</v>
      </c>
      <c r="K75" s="73">
        <f t="shared" si="14"/>
        <v>225.95099999999999</v>
      </c>
      <c r="L75" s="73">
        <f t="shared" si="15"/>
        <v>2.0541</v>
      </c>
      <c r="M75" s="75">
        <f>5+15+2+2+10+6+2+2+10+10+5+1+1+10+6+3+5+6+2+10+3+2+5+3+2+2+10+5+2+10+4</f>
        <v>161</v>
      </c>
      <c r="N75" s="76">
        <f t="shared" si="16"/>
        <v>330.71010000000001</v>
      </c>
      <c r="O75" s="75">
        <f>5+6+2+10+2+15+2+2+10+10+5+1+10+1+6+3+5+6+2+3+10+2+2+3+5+2+5+10+2+10+4</f>
        <v>161</v>
      </c>
      <c r="P75" s="76">
        <f t="shared" si="17"/>
        <v>330.71010000000001</v>
      </c>
      <c r="Q75" s="75">
        <v>165</v>
      </c>
      <c r="R75" s="32"/>
      <c r="S75" s="32">
        <f t="shared" si="18"/>
        <v>0</v>
      </c>
      <c r="T75" s="33"/>
      <c r="U75" s="35">
        <f t="shared" si="19"/>
        <v>0</v>
      </c>
      <c r="V75" s="32">
        <f t="shared" si="20"/>
        <v>0</v>
      </c>
      <c r="W75" s="32">
        <f t="shared" si="21"/>
        <v>0</v>
      </c>
    </row>
    <row r="76" spans="1:23">
      <c r="A76" s="23">
        <v>71</v>
      </c>
      <c r="B76" s="42" t="s">
        <v>48</v>
      </c>
      <c r="C76" s="3"/>
      <c r="D76" s="15"/>
      <c r="E76" s="72" t="s">
        <v>2</v>
      </c>
      <c r="F76" s="71">
        <v>80</v>
      </c>
      <c r="G76" s="73">
        <v>3.97</v>
      </c>
      <c r="H76" s="73">
        <f t="shared" si="12"/>
        <v>317.60000000000002</v>
      </c>
      <c r="I76" s="74">
        <v>0.23</v>
      </c>
      <c r="J76" s="73">
        <f t="shared" si="13"/>
        <v>73.048000000000002</v>
      </c>
      <c r="K76" s="73">
        <f t="shared" si="14"/>
        <v>390.64800000000002</v>
      </c>
      <c r="L76" s="73">
        <f t="shared" si="15"/>
        <v>4.8831000000000007</v>
      </c>
      <c r="M76" s="75">
        <f>5+15+2+2+3+5+1+6+2+1+6+2+10+3+2+5+3+3+2+2+10</f>
        <v>90</v>
      </c>
      <c r="N76" s="76">
        <f t="shared" si="16"/>
        <v>439.47900000000004</v>
      </c>
      <c r="O76" s="75">
        <f>5+2+2+15+5+3+1+6+2+1+6+2+3+10+2+3+5+3+2+2+10</f>
        <v>90</v>
      </c>
      <c r="P76" s="76">
        <f t="shared" si="17"/>
        <v>439.47900000000004</v>
      </c>
      <c r="Q76" s="75">
        <v>95</v>
      </c>
      <c r="R76" s="32"/>
      <c r="S76" s="32">
        <f t="shared" si="18"/>
        <v>0</v>
      </c>
      <c r="T76" s="33"/>
      <c r="U76" s="35">
        <f t="shared" si="19"/>
        <v>0</v>
      </c>
      <c r="V76" s="32">
        <f t="shared" si="20"/>
        <v>0</v>
      </c>
      <c r="W76" s="32">
        <f t="shared" si="21"/>
        <v>0</v>
      </c>
    </row>
    <row r="77" spans="1:23" ht="30">
      <c r="A77" s="23">
        <v>72</v>
      </c>
      <c r="B77" s="42" t="s">
        <v>49</v>
      </c>
      <c r="C77" s="3"/>
      <c r="D77" s="15"/>
      <c r="E77" s="51" t="s">
        <v>1</v>
      </c>
      <c r="F77" s="71">
        <v>30</v>
      </c>
      <c r="G77" s="73">
        <v>22.16</v>
      </c>
      <c r="H77" s="73">
        <f t="shared" si="12"/>
        <v>664.8</v>
      </c>
      <c r="I77" s="74">
        <v>0.23</v>
      </c>
      <c r="J77" s="73">
        <f t="shared" si="13"/>
        <v>152.904</v>
      </c>
      <c r="K77" s="73">
        <f t="shared" si="14"/>
        <v>817.70399999999995</v>
      </c>
      <c r="L77" s="73">
        <f t="shared" si="15"/>
        <v>27.256799999999998</v>
      </c>
      <c r="M77" s="75">
        <f>5+2+5+4+2+3+2+2+3+2+2</f>
        <v>32</v>
      </c>
      <c r="N77" s="76">
        <f t="shared" si="16"/>
        <v>872.21759999999995</v>
      </c>
      <c r="O77" s="75">
        <f>5+5+2+4+2+3+2+2+3+2</f>
        <v>30</v>
      </c>
      <c r="P77" s="76">
        <f t="shared" si="17"/>
        <v>817.70399999999995</v>
      </c>
      <c r="Q77" s="75">
        <v>60</v>
      </c>
      <c r="R77" s="32"/>
      <c r="S77" s="32">
        <f t="shared" si="18"/>
        <v>0</v>
      </c>
      <c r="T77" s="33"/>
      <c r="U77" s="35">
        <f t="shared" si="19"/>
        <v>0</v>
      </c>
      <c r="V77" s="32">
        <f t="shared" si="20"/>
        <v>0</v>
      </c>
      <c r="W77" s="32">
        <f t="shared" si="21"/>
        <v>0</v>
      </c>
    </row>
    <row r="78" spans="1:23" ht="30">
      <c r="A78" s="23">
        <v>73</v>
      </c>
      <c r="B78" s="42" t="s">
        <v>50</v>
      </c>
      <c r="C78" s="3"/>
      <c r="D78" s="15"/>
      <c r="E78" s="51" t="s">
        <v>1</v>
      </c>
      <c r="F78" s="71">
        <v>45</v>
      </c>
      <c r="G78" s="73">
        <v>8.61</v>
      </c>
      <c r="H78" s="73">
        <f t="shared" si="12"/>
        <v>387.45</v>
      </c>
      <c r="I78" s="74">
        <v>0.23</v>
      </c>
      <c r="J78" s="73">
        <f t="shared" si="13"/>
        <v>89.113500000000002</v>
      </c>
      <c r="K78" s="73">
        <f t="shared" si="14"/>
        <v>476.56349999999998</v>
      </c>
      <c r="L78" s="73">
        <f t="shared" si="15"/>
        <v>10.590299999999999</v>
      </c>
      <c r="M78" s="75">
        <f>10+5+6+2+2+1+4+2+1+3+5+4+4+1</f>
        <v>50</v>
      </c>
      <c r="N78" s="76">
        <f t="shared" si="16"/>
        <v>529.51499999999999</v>
      </c>
      <c r="O78" s="75">
        <f>10+5+6+2+2+1+4+2+1+3+4+4+5+1</f>
        <v>50</v>
      </c>
      <c r="P78" s="76">
        <f t="shared" si="17"/>
        <v>529.51499999999999</v>
      </c>
      <c r="Q78" s="75">
        <v>80</v>
      </c>
      <c r="R78" s="32"/>
      <c r="S78" s="32">
        <f t="shared" si="18"/>
        <v>0</v>
      </c>
      <c r="T78" s="33"/>
      <c r="U78" s="35">
        <f t="shared" si="19"/>
        <v>0</v>
      </c>
      <c r="V78" s="32">
        <f t="shared" si="20"/>
        <v>0</v>
      </c>
      <c r="W78" s="32">
        <f t="shared" si="21"/>
        <v>0</v>
      </c>
    </row>
    <row r="79" spans="1:23" ht="33">
      <c r="A79" s="23">
        <v>74</v>
      </c>
      <c r="B79" s="42" t="s">
        <v>147</v>
      </c>
      <c r="C79" s="3"/>
      <c r="D79" s="15"/>
      <c r="E79" s="72" t="s">
        <v>1</v>
      </c>
      <c r="F79" s="71">
        <v>230</v>
      </c>
      <c r="G79" s="73">
        <v>0.31</v>
      </c>
      <c r="H79" s="73">
        <f t="shared" si="12"/>
        <v>71.3</v>
      </c>
      <c r="I79" s="74">
        <v>0.23</v>
      </c>
      <c r="J79" s="73">
        <f t="shared" si="13"/>
        <v>16.399000000000001</v>
      </c>
      <c r="K79" s="73">
        <f t="shared" si="14"/>
        <v>87.698999999999998</v>
      </c>
      <c r="L79" s="73">
        <f t="shared" si="15"/>
        <v>0.38129999999999997</v>
      </c>
      <c r="M79" s="75">
        <f>100+20+100+50+50+10+30</f>
        <v>360</v>
      </c>
      <c r="N79" s="76">
        <f t="shared" si="16"/>
        <v>137.268</v>
      </c>
      <c r="O79" s="75">
        <f>100+20+100+50+50+10+30</f>
        <v>360</v>
      </c>
      <c r="P79" s="76">
        <f t="shared" si="17"/>
        <v>137.268</v>
      </c>
      <c r="Q79" s="75">
        <v>370</v>
      </c>
      <c r="R79" s="32"/>
      <c r="S79" s="32">
        <f t="shared" si="18"/>
        <v>0</v>
      </c>
      <c r="T79" s="33"/>
      <c r="U79" s="35">
        <f t="shared" si="19"/>
        <v>0</v>
      </c>
      <c r="V79" s="32">
        <f t="shared" si="20"/>
        <v>0</v>
      </c>
      <c r="W79" s="32">
        <f t="shared" si="21"/>
        <v>0</v>
      </c>
    </row>
    <row r="80" spans="1:23" ht="30">
      <c r="A80" s="23">
        <v>75</v>
      </c>
      <c r="B80" s="43" t="s">
        <v>51</v>
      </c>
      <c r="C80" s="3"/>
      <c r="D80" s="15"/>
      <c r="E80" s="72" t="s">
        <v>1</v>
      </c>
      <c r="F80" s="71">
        <v>1000</v>
      </c>
      <c r="G80" s="73">
        <v>0.15</v>
      </c>
      <c r="H80" s="73">
        <f t="shared" si="12"/>
        <v>150</v>
      </c>
      <c r="I80" s="74">
        <v>0.23</v>
      </c>
      <c r="J80" s="73">
        <f t="shared" si="13"/>
        <v>34.5</v>
      </c>
      <c r="K80" s="73">
        <f t="shared" si="14"/>
        <v>184.5</v>
      </c>
      <c r="L80" s="73">
        <f t="shared" si="15"/>
        <v>0.1845</v>
      </c>
      <c r="M80" s="75">
        <f>400+100+500+500+20+500+10</f>
        <v>2030</v>
      </c>
      <c r="N80" s="76">
        <f t="shared" si="16"/>
        <v>374.53499999999997</v>
      </c>
      <c r="O80" s="75">
        <f>400+100+500+20+500+500+10</f>
        <v>2030</v>
      </c>
      <c r="P80" s="76">
        <f t="shared" si="17"/>
        <v>374.53499999999997</v>
      </c>
      <c r="Q80" s="75">
        <v>2050</v>
      </c>
      <c r="R80" s="32"/>
      <c r="S80" s="32">
        <f t="shared" si="18"/>
        <v>0</v>
      </c>
      <c r="T80" s="33"/>
      <c r="U80" s="35">
        <f t="shared" si="19"/>
        <v>0</v>
      </c>
      <c r="V80" s="32">
        <f t="shared" si="20"/>
        <v>0</v>
      </c>
      <c r="W80" s="32">
        <f t="shared" si="21"/>
        <v>0</v>
      </c>
    </row>
    <row r="81" spans="1:23" ht="30">
      <c r="A81" s="23">
        <v>76</v>
      </c>
      <c r="B81" s="43" t="s">
        <v>52</v>
      </c>
      <c r="C81" s="3"/>
      <c r="D81" s="15"/>
      <c r="E81" s="72" t="s">
        <v>1</v>
      </c>
      <c r="F81" s="71">
        <v>25</v>
      </c>
      <c r="G81" s="73">
        <v>0.84</v>
      </c>
      <c r="H81" s="73">
        <f t="shared" si="12"/>
        <v>21</v>
      </c>
      <c r="I81" s="74">
        <v>0.23</v>
      </c>
      <c r="J81" s="73">
        <f t="shared" si="13"/>
        <v>4.83</v>
      </c>
      <c r="K81" s="73">
        <f t="shared" si="14"/>
        <v>25.83</v>
      </c>
      <c r="L81" s="73">
        <f t="shared" si="15"/>
        <v>1.0331999999999999</v>
      </c>
      <c r="M81" s="75">
        <f>5+10</f>
        <v>15</v>
      </c>
      <c r="N81" s="76">
        <f t="shared" si="16"/>
        <v>15.497999999999998</v>
      </c>
      <c r="O81" s="75">
        <f>5+10</f>
        <v>15</v>
      </c>
      <c r="P81" s="76">
        <f t="shared" si="17"/>
        <v>15.497999999999998</v>
      </c>
      <c r="Q81" s="75">
        <v>17</v>
      </c>
      <c r="R81" s="32"/>
      <c r="S81" s="32">
        <f t="shared" si="18"/>
        <v>0</v>
      </c>
      <c r="T81" s="33"/>
      <c r="U81" s="35">
        <f t="shared" si="19"/>
        <v>0</v>
      </c>
      <c r="V81" s="32">
        <f t="shared" si="20"/>
        <v>0</v>
      </c>
      <c r="W81" s="32">
        <f t="shared" si="21"/>
        <v>0</v>
      </c>
    </row>
    <row r="82" spans="1:23" ht="30">
      <c r="A82" s="23">
        <v>77</v>
      </c>
      <c r="B82" s="43" t="s">
        <v>53</v>
      </c>
      <c r="C82" s="3"/>
      <c r="D82" s="15"/>
      <c r="E82" s="72" t="s">
        <v>2</v>
      </c>
      <c r="F82" s="71">
        <v>260</v>
      </c>
      <c r="G82" s="73">
        <v>2.4</v>
      </c>
      <c r="H82" s="73">
        <f t="shared" si="12"/>
        <v>624</v>
      </c>
      <c r="I82" s="74">
        <v>0.23</v>
      </c>
      <c r="J82" s="73">
        <f t="shared" si="13"/>
        <v>143.52000000000001</v>
      </c>
      <c r="K82" s="73">
        <f t="shared" si="14"/>
        <v>767.52</v>
      </c>
      <c r="L82" s="73">
        <f t="shared" si="15"/>
        <v>2.952</v>
      </c>
      <c r="M82" s="75">
        <f>20+30+1+5+3+3+10+100+2+5+2+8+5+6+2+6+3+2</f>
        <v>213</v>
      </c>
      <c r="N82" s="76">
        <f t="shared" si="16"/>
        <v>628.77599999999995</v>
      </c>
      <c r="O82" s="75">
        <f>20+30+1+5+3+3+10+100+2+2+5+8+5+6+2+3+6+2</f>
        <v>213</v>
      </c>
      <c r="P82" s="76">
        <f t="shared" si="17"/>
        <v>628.77599999999995</v>
      </c>
      <c r="Q82" s="75">
        <v>220</v>
      </c>
      <c r="R82" s="32"/>
      <c r="S82" s="32">
        <f t="shared" si="18"/>
        <v>0</v>
      </c>
      <c r="T82" s="33"/>
      <c r="U82" s="35">
        <f t="shared" si="19"/>
        <v>0</v>
      </c>
      <c r="V82" s="32">
        <f t="shared" si="20"/>
        <v>0</v>
      </c>
      <c r="W82" s="32">
        <f t="shared" si="21"/>
        <v>0</v>
      </c>
    </row>
    <row r="83" spans="1:23" ht="30">
      <c r="A83" s="23">
        <v>78</v>
      </c>
      <c r="B83" s="43" t="s">
        <v>54</v>
      </c>
      <c r="C83" s="3"/>
      <c r="D83" s="15"/>
      <c r="E83" s="72" t="s">
        <v>2</v>
      </c>
      <c r="F83" s="71">
        <v>550</v>
      </c>
      <c r="G83" s="73">
        <v>1.1000000000000001</v>
      </c>
      <c r="H83" s="73">
        <f t="shared" si="12"/>
        <v>605</v>
      </c>
      <c r="I83" s="74">
        <v>0.23</v>
      </c>
      <c r="J83" s="73">
        <f t="shared" si="13"/>
        <v>139.15</v>
      </c>
      <c r="K83" s="73">
        <f t="shared" si="14"/>
        <v>744.15</v>
      </c>
      <c r="L83" s="73">
        <f t="shared" si="15"/>
        <v>1.3530000000000002</v>
      </c>
      <c r="M83" s="75">
        <f>50+30+20+5+30+5+1+300+10+5+5+30+6+5+100+6</f>
        <v>608</v>
      </c>
      <c r="N83" s="76">
        <f t="shared" si="16"/>
        <v>822.62400000000014</v>
      </c>
      <c r="O83" s="75">
        <f>50+30+20+5+30+1+10+300+5+5+5+30+5+6+6</f>
        <v>508</v>
      </c>
      <c r="P83" s="76">
        <f t="shared" si="17"/>
        <v>687.32400000000007</v>
      </c>
      <c r="Q83" s="75">
        <v>610</v>
      </c>
      <c r="R83" s="32"/>
      <c r="S83" s="32">
        <f t="shared" si="18"/>
        <v>0</v>
      </c>
      <c r="T83" s="33"/>
      <c r="U83" s="35">
        <f t="shared" si="19"/>
        <v>0</v>
      </c>
      <c r="V83" s="32">
        <f t="shared" si="20"/>
        <v>0</v>
      </c>
      <c r="W83" s="32">
        <f t="shared" si="21"/>
        <v>0</v>
      </c>
    </row>
    <row r="84" spans="1:23" ht="30">
      <c r="A84" s="23">
        <v>79</v>
      </c>
      <c r="B84" s="43" t="s">
        <v>55</v>
      </c>
      <c r="C84" s="3"/>
      <c r="D84" s="15"/>
      <c r="E84" s="72" t="s">
        <v>2</v>
      </c>
      <c r="F84" s="71">
        <v>620</v>
      </c>
      <c r="G84" s="73">
        <v>0.63</v>
      </c>
      <c r="H84" s="73">
        <f t="shared" si="12"/>
        <v>390.6</v>
      </c>
      <c r="I84" s="74">
        <v>0.23</v>
      </c>
      <c r="J84" s="73">
        <f t="shared" si="13"/>
        <v>89.838000000000008</v>
      </c>
      <c r="K84" s="73">
        <f t="shared" si="14"/>
        <v>480.43800000000005</v>
      </c>
      <c r="L84" s="73">
        <f t="shared" si="15"/>
        <v>0.77490000000000003</v>
      </c>
      <c r="M84" s="75">
        <f>40+5+300+20+1+10+10+5+300+3+1+50+2+5+10+20+50+3</f>
        <v>835</v>
      </c>
      <c r="N84" s="76">
        <f t="shared" si="16"/>
        <v>647.04150000000004</v>
      </c>
      <c r="O84" s="75">
        <f>40+5+300+20+1+10+10+300+3+1+50+2+5+20+10+5+50+3</f>
        <v>835</v>
      </c>
      <c r="P84" s="76">
        <f t="shared" si="17"/>
        <v>647.04150000000004</v>
      </c>
      <c r="Q84" s="75">
        <v>840</v>
      </c>
      <c r="R84" s="32"/>
      <c r="S84" s="32">
        <f t="shared" si="18"/>
        <v>0</v>
      </c>
      <c r="T84" s="33"/>
      <c r="U84" s="35">
        <f t="shared" si="19"/>
        <v>0</v>
      </c>
      <c r="V84" s="32">
        <f t="shared" si="20"/>
        <v>0</v>
      </c>
      <c r="W84" s="32">
        <f t="shared" si="21"/>
        <v>0</v>
      </c>
    </row>
    <row r="85" spans="1:23" ht="30">
      <c r="A85" s="23">
        <v>80</v>
      </c>
      <c r="B85" s="43" t="s">
        <v>56</v>
      </c>
      <c r="C85" s="3"/>
      <c r="D85" s="15"/>
      <c r="E85" s="72" t="s">
        <v>2</v>
      </c>
      <c r="F85" s="71">
        <v>30</v>
      </c>
      <c r="G85" s="73">
        <v>6.4</v>
      </c>
      <c r="H85" s="73">
        <f t="shared" si="12"/>
        <v>192</v>
      </c>
      <c r="I85" s="74">
        <v>0.23</v>
      </c>
      <c r="J85" s="73">
        <f t="shared" si="13"/>
        <v>44.160000000000004</v>
      </c>
      <c r="K85" s="73">
        <f t="shared" si="14"/>
        <v>236.16</v>
      </c>
      <c r="L85" s="73">
        <f t="shared" si="15"/>
        <v>7.8720000000000008</v>
      </c>
      <c r="M85" s="75">
        <f>5+10+5</f>
        <v>20</v>
      </c>
      <c r="N85" s="76">
        <f t="shared" si="16"/>
        <v>157.44000000000003</v>
      </c>
      <c r="O85" s="75">
        <f>5+10+5</f>
        <v>20</v>
      </c>
      <c r="P85" s="76">
        <f t="shared" si="17"/>
        <v>157.44000000000003</v>
      </c>
      <c r="Q85" s="75">
        <v>25</v>
      </c>
      <c r="R85" s="32"/>
      <c r="S85" s="32">
        <f t="shared" si="18"/>
        <v>0</v>
      </c>
      <c r="T85" s="33"/>
      <c r="U85" s="35">
        <f t="shared" si="19"/>
        <v>0</v>
      </c>
      <c r="V85" s="32">
        <f t="shared" si="20"/>
        <v>0</v>
      </c>
      <c r="W85" s="32">
        <f t="shared" si="21"/>
        <v>0</v>
      </c>
    </row>
    <row r="86" spans="1:23" ht="45">
      <c r="A86" s="23">
        <v>81</v>
      </c>
      <c r="B86" s="43" t="s">
        <v>57</v>
      </c>
      <c r="C86" s="10"/>
      <c r="D86" s="16"/>
      <c r="E86" s="72" t="s">
        <v>2</v>
      </c>
      <c r="F86" s="71">
        <v>12</v>
      </c>
      <c r="G86" s="73">
        <v>5.3</v>
      </c>
      <c r="H86" s="73">
        <f t="shared" si="12"/>
        <v>63.599999999999994</v>
      </c>
      <c r="I86" s="74">
        <v>0.23</v>
      </c>
      <c r="J86" s="73">
        <f t="shared" si="13"/>
        <v>14.628</v>
      </c>
      <c r="K86" s="73">
        <f t="shared" si="14"/>
        <v>78.227999999999994</v>
      </c>
      <c r="L86" s="73">
        <f t="shared" si="15"/>
        <v>6.5190000000000001</v>
      </c>
      <c r="M86" s="75">
        <f>5+20+10+1+5+1+10+3</f>
        <v>55</v>
      </c>
      <c r="N86" s="76">
        <f t="shared" si="16"/>
        <v>358.54500000000002</v>
      </c>
      <c r="O86" s="75">
        <f>20+5+10+1+5+1+10+3</f>
        <v>55</v>
      </c>
      <c r="P86" s="76">
        <f t="shared" si="17"/>
        <v>358.54500000000002</v>
      </c>
      <c r="Q86" s="75">
        <v>60</v>
      </c>
      <c r="R86" s="32"/>
      <c r="S86" s="32">
        <f t="shared" si="18"/>
        <v>0</v>
      </c>
      <c r="T86" s="33"/>
      <c r="U86" s="35">
        <f t="shared" si="19"/>
        <v>0</v>
      </c>
      <c r="V86" s="32">
        <f t="shared" si="20"/>
        <v>0</v>
      </c>
      <c r="W86" s="32">
        <f t="shared" si="21"/>
        <v>0</v>
      </c>
    </row>
    <row r="87" spans="1:23" ht="45">
      <c r="A87" s="23">
        <v>82</v>
      </c>
      <c r="B87" s="43" t="s">
        <v>58</v>
      </c>
      <c r="C87" s="10"/>
      <c r="D87" s="16"/>
      <c r="E87" s="72" t="s">
        <v>2</v>
      </c>
      <c r="F87" s="71">
        <v>10</v>
      </c>
      <c r="G87" s="73">
        <v>6.2</v>
      </c>
      <c r="H87" s="73">
        <f t="shared" si="12"/>
        <v>62</v>
      </c>
      <c r="I87" s="74">
        <v>0.23</v>
      </c>
      <c r="J87" s="73">
        <f t="shared" si="13"/>
        <v>14.26</v>
      </c>
      <c r="K87" s="73">
        <f t="shared" si="14"/>
        <v>76.260000000000005</v>
      </c>
      <c r="L87" s="73">
        <f t="shared" si="15"/>
        <v>7.6260000000000003</v>
      </c>
      <c r="M87" s="75">
        <f>5+20+1+5+5+3+3+1</f>
        <v>43</v>
      </c>
      <c r="N87" s="76">
        <f t="shared" si="16"/>
        <v>327.91800000000001</v>
      </c>
      <c r="O87" s="75">
        <f>20+5+1+5+5+3+3+1</f>
        <v>43</v>
      </c>
      <c r="P87" s="76">
        <f t="shared" si="17"/>
        <v>327.91800000000001</v>
      </c>
      <c r="Q87" s="75">
        <v>45</v>
      </c>
      <c r="R87" s="32"/>
      <c r="S87" s="32">
        <f t="shared" si="18"/>
        <v>0</v>
      </c>
      <c r="T87" s="33"/>
      <c r="U87" s="35">
        <f t="shared" si="19"/>
        <v>0</v>
      </c>
      <c r="V87" s="32">
        <f t="shared" si="20"/>
        <v>0</v>
      </c>
      <c r="W87" s="32">
        <f t="shared" si="21"/>
        <v>0</v>
      </c>
    </row>
    <row r="88" spans="1:23" ht="60">
      <c r="A88" s="23">
        <v>83</v>
      </c>
      <c r="B88" s="43" t="s">
        <v>59</v>
      </c>
      <c r="C88" s="10"/>
      <c r="D88" s="16"/>
      <c r="E88" s="72" t="s">
        <v>2</v>
      </c>
      <c r="F88" s="71">
        <v>15</v>
      </c>
      <c r="G88" s="73">
        <v>1.5</v>
      </c>
      <c r="H88" s="73">
        <f t="shared" si="12"/>
        <v>22.5</v>
      </c>
      <c r="I88" s="74">
        <v>0.23</v>
      </c>
      <c r="J88" s="73">
        <f t="shared" si="13"/>
        <v>5.1749999999999998</v>
      </c>
      <c r="K88" s="73">
        <f t="shared" si="14"/>
        <v>27.675000000000001</v>
      </c>
      <c r="L88" s="73">
        <f t="shared" si="15"/>
        <v>1.845</v>
      </c>
      <c r="M88" s="75">
        <f>5+20+5+1+1</f>
        <v>32</v>
      </c>
      <c r="N88" s="76">
        <f t="shared" si="16"/>
        <v>59.04</v>
      </c>
      <c r="O88" s="75">
        <f>20+5+5+1+1</f>
        <v>32</v>
      </c>
      <c r="P88" s="76">
        <f t="shared" si="17"/>
        <v>59.04</v>
      </c>
      <c r="Q88" s="75">
        <v>35</v>
      </c>
      <c r="R88" s="32"/>
      <c r="S88" s="32">
        <f t="shared" si="18"/>
        <v>0</v>
      </c>
      <c r="T88" s="33"/>
      <c r="U88" s="35">
        <f t="shared" si="19"/>
        <v>0</v>
      </c>
      <c r="V88" s="32">
        <f t="shared" si="20"/>
        <v>0</v>
      </c>
      <c r="W88" s="32">
        <f t="shared" si="21"/>
        <v>0</v>
      </c>
    </row>
    <row r="89" spans="1:23" ht="60">
      <c r="A89" s="23">
        <v>84</v>
      </c>
      <c r="B89" s="43" t="s">
        <v>60</v>
      </c>
      <c r="C89" s="10"/>
      <c r="D89" s="16"/>
      <c r="E89" s="72" t="s">
        <v>2</v>
      </c>
      <c r="F89" s="71">
        <v>10</v>
      </c>
      <c r="G89" s="73">
        <v>2.2000000000000002</v>
      </c>
      <c r="H89" s="73">
        <f t="shared" si="12"/>
        <v>22</v>
      </c>
      <c r="I89" s="74">
        <v>0.23</v>
      </c>
      <c r="J89" s="73">
        <f t="shared" si="13"/>
        <v>5.0600000000000005</v>
      </c>
      <c r="K89" s="73">
        <f t="shared" si="14"/>
        <v>27.060000000000002</v>
      </c>
      <c r="L89" s="73">
        <f t="shared" si="15"/>
        <v>2.7060000000000004</v>
      </c>
      <c r="M89" s="75">
        <f>5+5+15+2</f>
        <v>27</v>
      </c>
      <c r="N89" s="76">
        <f t="shared" si="16"/>
        <v>73.062000000000012</v>
      </c>
      <c r="O89" s="75">
        <f>5+5+15+2</f>
        <v>27</v>
      </c>
      <c r="P89" s="76">
        <f t="shared" si="17"/>
        <v>73.062000000000012</v>
      </c>
      <c r="Q89" s="75">
        <v>28</v>
      </c>
      <c r="R89" s="32"/>
      <c r="S89" s="32">
        <f t="shared" si="18"/>
        <v>0</v>
      </c>
      <c r="T89" s="33"/>
      <c r="U89" s="35">
        <f t="shared" si="19"/>
        <v>0</v>
      </c>
      <c r="V89" s="32">
        <f t="shared" si="20"/>
        <v>0</v>
      </c>
      <c r="W89" s="32">
        <f t="shared" si="21"/>
        <v>0</v>
      </c>
    </row>
    <row r="90" spans="1:23" ht="60">
      <c r="A90" s="23">
        <v>85</v>
      </c>
      <c r="B90" s="43" t="s">
        <v>61</v>
      </c>
      <c r="C90" s="10"/>
      <c r="D90" s="16"/>
      <c r="E90" s="72" t="s">
        <v>2</v>
      </c>
      <c r="F90" s="71">
        <v>30</v>
      </c>
      <c r="G90" s="73">
        <v>8.4</v>
      </c>
      <c r="H90" s="73">
        <f t="shared" si="12"/>
        <v>252</v>
      </c>
      <c r="I90" s="74">
        <v>0.23</v>
      </c>
      <c r="J90" s="73">
        <f t="shared" si="13"/>
        <v>57.96</v>
      </c>
      <c r="K90" s="73">
        <f t="shared" si="14"/>
        <v>309.95999999999998</v>
      </c>
      <c r="L90" s="73">
        <f t="shared" si="15"/>
        <v>10.332000000000001</v>
      </c>
      <c r="M90" s="75">
        <f>5+5+2+3</f>
        <v>15</v>
      </c>
      <c r="N90" s="76">
        <f t="shared" si="16"/>
        <v>154.98000000000002</v>
      </c>
      <c r="O90" s="75">
        <f>5+5+2+3</f>
        <v>15</v>
      </c>
      <c r="P90" s="76">
        <f t="shared" si="17"/>
        <v>154.98000000000002</v>
      </c>
      <c r="Q90" s="75">
        <v>16</v>
      </c>
      <c r="R90" s="32"/>
      <c r="S90" s="32">
        <f t="shared" si="18"/>
        <v>0</v>
      </c>
      <c r="T90" s="33"/>
      <c r="U90" s="35">
        <f t="shared" si="19"/>
        <v>0</v>
      </c>
      <c r="V90" s="32">
        <f t="shared" si="20"/>
        <v>0</v>
      </c>
      <c r="W90" s="32">
        <f t="shared" si="21"/>
        <v>0</v>
      </c>
    </row>
    <row r="91" spans="1:23" ht="30">
      <c r="A91" s="23">
        <v>86</v>
      </c>
      <c r="B91" s="43" t="s">
        <v>62</v>
      </c>
      <c r="C91" s="3"/>
      <c r="D91" s="15"/>
      <c r="E91" s="72" t="s">
        <v>2</v>
      </c>
      <c r="F91" s="71">
        <v>135</v>
      </c>
      <c r="G91" s="73">
        <v>0.77</v>
      </c>
      <c r="H91" s="73">
        <f t="shared" si="12"/>
        <v>103.95</v>
      </c>
      <c r="I91" s="74">
        <v>0.23</v>
      </c>
      <c r="J91" s="73">
        <f t="shared" si="13"/>
        <v>23.9085</v>
      </c>
      <c r="K91" s="73">
        <f t="shared" si="14"/>
        <v>127.85850000000001</v>
      </c>
      <c r="L91" s="73">
        <f t="shared" si="15"/>
        <v>0.94710000000000005</v>
      </c>
      <c r="M91" s="75">
        <f>5+5+50</f>
        <v>60</v>
      </c>
      <c r="N91" s="76">
        <f t="shared" si="16"/>
        <v>56.826000000000001</v>
      </c>
      <c r="O91" s="75">
        <f>5+5+50</f>
        <v>60</v>
      </c>
      <c r="P91" s="76">
        <f t="shared" si="17"/>
        <v>56.826000000000001</v>
      </c>
      <c r="Q91" s="75">
        <v>62</v>
      </c>
      <c r="R91" s="32"/>
      <c r="S91" s="32">
        <f t="shared" si="18"/>
        <v>0</v>
      </c>
      <c r="T91" s="33"/>
      <c r="U91" s="35">
        <f t="shared" si="19"/>
        <v>0</v>
      </c>
      <c r="V91" s="32">
        <f t="shared" si="20"/>
        <v>0</v>
      </c>
      <c r="W91" s="32">
        <f t="shared" si="21"/>
        <v>0</v>
      </c>
    </row>
    <row r="92" spans="1:23" ht="45">
      <c r="A92" s="23">
        <v>87</v>
      </c>
      <c r="B92" s="43" t="s">
        <v>172</v>
      </c>
      <c r="C92" s="3"/>
      <c r="D92" s="15"/>
      <c r="E92" s="72" t="s">
        <v>1</v>
      </c>
      <c r="F92" s="71">
        <v>1250</v>
      </c>
      <c r="G92" s="73">
        <v>1</v>
      </c>
      <c r="H92" s="73">
        <f t="shared" si="12"/>
        <v>1250</v>
      </c>
      <c r="I92" s="74">
        <v>0.23</v>
      </c>
      <c r="J92" s="73">
        <f t="shared" si="13"/>
        <v>287.5</v>
      </c>
      <c r="K92" s="73">
        <f t="shared" si="14"/>
        <v>1537.5</v>
      </c>
      <c r="L92" s="73">
        <f t="shared" si="15"/>
        <v>1.23</v>
      </c>
      <c r="M92" s="75">
        <f>5+5+30</f>
        <v>40</v>
      </c>
      <c r="N92" s="76">
        <f t="shared" si="16"/>
        <v>49.2</v>
      </c>
      <c r="O92" s="75">
        <f>5+5+30</f>
        <v>40</v>
      </c>
      <c r="P92" s="76">
        <f t="shared" si="17"/>
        <v>49.2</v>
      </c>
      <c r="Q92" s="75">
        <v>50</v>
      </c>
      <c r="R92" s="32"/>
      <c r="S92" s="32">
        <f t="shared" si="18"/>
        <v>0</v>
      </c>
      <c r="T92" s="33"/>
      <c r="U92" s="35">
        <f t="shared" si="19"/>
        <v>0</v>
      </c>
      <c r="V92" s="32">
        <f t="shared" si="20"/>
        <v>0</v>
      </c>
      <c r="W92" s="32">
        <f t="shared" si="21"/>
        <v>0</v>
      </c>
    </row>
    <row r="93" spans="1:23" ht="45">
      <c r="A93" s="23">
        <v>88</v>
      </c>
      <c r="B93" s="43" t="s">
        <v>173</v>
      </c>
      <c r="C93" s="3"/>
      <c r="D93" s="15"/>
      <c r="E93" s="72" t="s">
        <v>1</v>
      </c>
      <c r="F93" s="71">
        <v>160</v>
      </c>
      <c r="G93" s="73">
        <v>0.66</v>
      </c>
      <c r="H93" s="73">
        <f t="shared" si="12"/>
        <v>105.60000000000001</v>
      </c>
      <c r="I93" s="74">
        <v>0.23</v>
      </c>
      <c r="J93" s="73">
        <f t="shared" si="13"/>
        <v>24.288000000000004</v>
      </c>
      <c r="K93" s="73">
        <f t="shared" si="14"/>
        <v>129.88800000000001</v>
      </c>
      <c r="L93" s="73">
        <f t="shared" si="15"/>
        <v>0.81180000000000008</v>
      </c>
      <c r="M93" s="75">
        <f>50+5+10+30+5+10+15</f>
        <v>125</v>
      </c>
      <c r="N93" s="76">
        <f t="shared" si="16"/>
        <v>101.47500000000001</v>
      </c>
      <c r="O93" s="75">
        <f>50+5+10+5+30+10+15</f>
        <v>125</v>
      </c>
      <c r="P93" s="76">
        <f t="shared" si="17"/>
        <v>101.47500000000001</v>
      </c>
      <c r="Q93" s="75">
        <v>130</v>
      </c>
      <c r="R93" s="32"/>
      <c r="S93" s="32">
        <f t="shared" si="18"/>
        <v>0</v>
      </c>
      <c r="T93" s="33"/>
      <c r="U93" s="35">
        <f t="shared" si="19"/>
        <v>0</v>
      </c>
      <c r="V93" s="32">
        <f t="shared" si="20"/>
        <v>0</v>
      </c>
      <c r="W93" s="32">
        <f t="shared" si="21"/>
        <v>0</v>
      </c>
    </row>
    <row r="94" spans="1:23" ht="45">
      <c r="A94" s="23">
        <v>89</v>
      </c>
      <c r="B94" s="43" t="s">
        <v>174</v>
      </c>
      <c r="C94" s="3"/>
      <c r="D94" s="15"/>
      <c r="E94" s="72" t="s">
        <v>1</v>
      </c>
      <c r="F94" s="71">
        <v>90</v>
      </c>
      <c r="G94" s="73">
        <v>0.94</v>
      </c>
      <c r="H94" s="73">
        <f t="shared" si="12"/>
        <v>84.6</v>
      </c>
      <c r="I94" s="74">
        <v>0.23</v>
      </c>
      <c r="J94" s="73">
        <f t="shared" si="13"/>
        <v>19.457999999999998</v>
      </c>
      <c r="K94" s="73">
        <f t="shared" si="14"/>
        <v>104.05799999999999</v>
      </c>
      <c r="L94" s="73">
        <f t="shared" si="15"/>
        <v>1.1561999999999999</v>
      </c>
      <c r="M94" s="75">
        <f>10+15</f>
        <v>25</v>
      </c>
      <c r="N94" s="76">
        <f t="shared" si="16"/>
        <v>28.904999999999998</v>
      </c>
      <c r="O94" s="75">
        <f>10+15</f>
        <v>25</v>
      </c>
      <c r="P94" s="76">
        <f t="shared" si="17"/>
        <v>28.904999999999998</v>
      </c>
      <c r="Q94" s="75">
        <v>27</v>
      </c>
      <c r="R94" s="32"/>
      <c r="S94" s="32">
        <f t="shared" si="18"/>
        <v>0</v>
      </c>
      <c r="T94" s="33"/>
      <c r="U94" s="35">
        <f t="shared" si="19"/>
        <v>0</v>
      </c>
      <c r="V94" s="32">
        <f t="shared" si="20"/>
        <v>0</v>
      </c>
      <c r="W94" s="32">
        <f t="shared" si="21"/>
        <v>0</v>
      </c>
    </row>
    <row r="95" spans="1:23" ht="45">
      <c r="A95" s="23">
        <v>90</v>
      </c>
      <c r="B95" s="43" t="s">
        <v>175</v>
      </c>
      <c r="C95" s="3"/>
      <c r="D95" s="15"/>
      <c r="E95" s="72" t="s">
        <v>1</v>
      </c>
      <c r="F95" s="71">
        <v>60</v>
      </c>
      <c r="G95" s="73">
        <v>1.05</v>
      </c>
      <c r="H95" s="73">
        <f t="shared" si="12"/>
        <v>63</v>
      </c>
      <c r="I95" s="74">
        <v>0.23</v>
      </c>
      <c r="J95" s="73">
        <f t="shared" si="13"/>
        <v>14.49</v>
      </c>
      <c r="K95" s="73">
        <f t="shared" si="14"/>
        <v>77.489999999999995</v>
      </c>
      <c r="L95" s="73">
        <f t="shared" si="15"/>
        <v>1.2915000000000001</v>
      </c>
      <c r="M95" s="75">
        <f>10+10+15+30</f>
        <v>65</v>
      </c>
      <c r="N95" s="76">
        <f t="shared" si="16"/>
        <v>83.947500000000005</v>
      </c>
      <c r="O95" s="75">
        <f>10+10+15+30</f>
        <v>65</v>
      </c>
      <c r="P95" s="76">
        <f t="shared" si="17"/>
        <v>83.947500000000005</v>
      </c>
      <c r="Q95" s="75">
        <v>67</v>
      </c>
      <c r="R95" s="32"/>
      <c r="S95" s="32">
        <f t="shared" si="18"/>
        <v>0</v>
      </c>
      <c r="T95" s="33"/>
      <c r="U95" s="35">
        <f t="shared" si="19"/>
        <v>0</v>
      </c>
      <c r="V95" s="32">
        <f t="shared" si="20"/>
        <v>0</v>
      </c>
      <c r="W95" s="32">
        <f t="shared" si="21"/>
        <v>0</v>
      </c>
    </row>
    <row r="96" spans="1:23" ht="30">
      <c r="A96" s="23">
        <v>91</v>
      </c>
      <c r="B96" s="42" t="s">
        <v>63</v>
      </c>
      <c r="C96" s="3"/>
      <c r="D96" s="15"/>
      <c r="E96" s="72" t="s">
        <v>1</v>
      </c>
      <c r="F96" s="71">
        <v>25</v>
      </c>
      <c r="G96" s="73">
        <v>1.32</v>
      </c>
      <c r="H96" s="73">
        <f t="shared" si="12"/>
        <v>33</v>
      </c>
      <c r="I96" s="74">
        <v>0.23</v>
      </c>
      <c r="J96" s="73">
        <f t="shared" si="13"/>
        <v>7.5900000000000007</v>
      </c>
      <c r="K96" s="73">
        <f t="shared" si="14"/>
        <v>40.590000000000003</v>
      </c>
      <c r="L96" s="73">
        <f t="shared" si="15"/>
        <v>1.6236000000000002</v>
      </c>
      <c r="M96" s="75">
        <f>5+5+10+5+6+1+2+4+5+2+2+3+5+5+5+5</f>
        <v>70</v>
      </c>
      <c r="N96" s="76">
        <f t="shared" si="16"/>
        <v>113.65200000000002</v>
      </c>
      <c r="O96" s="75">
        <f>10+5+5+5+6+1+2+4+2+5+2+5+3+5+5+5</f>
        <v>70</v>
      </c>
      <c r="P96" s="76">
        <f t="shared" si="17"/>
        <v>113.65200000000002</v>
      </c>
      <c r="Q96" s="75">
        <v>65</v>
      </c>
      <c r="R96" s="32"/>
      <c r="S96" s="32">
        <f t="shared" si="18"/>
        <v>0</v>
      </c>
      <c r="T96" s="33"/>
      <c r="U96" s="35">
        <f t="shared" si="19"/>
        <v>0</v>
      </c>
      <c r="V96" s="32">
        <f t="shared" si="20"/>
        <v>0</v>
      </c>
      <c r="W96" s="32">
        <f t="shared" si="21"/>
        <v>0</v>
      </c>
    </row>
    <row r="97" spans="1:23" ht="45">
      <c r="A97" s="23">
        <v>92</v>
      </c>
      <c r="B97" s="42" t="s">
        <v>220</v>
      </c>
      <c r="C97" s="3"/>
      <c r="D97" s="3"/>
      <c r="E97" s="81" t="s">
        <v>1</v>
      </c>
      <c r="F97" s="71">
        <v>95</v>
      </c>
      <c r="G97" s="73">
        <v>17.39</v>
      </c>
      <c r="H97" s="73">
        <f t="shared" si="12"/>
        <v>1652.05</v>
      </c>
      <c r="I97" s="74">
        <v>0.23</v>
      </c>
      <c r="J97" s="73">
        <f t="shared" si="13"/>
        <v>379.97149999999999</v>
      </c>
      <c r="K97" s="73">
        <f t="shared" si="14"/>
        <v>2032.0214999999998</v>
      </c>
      <c r="L97" s="73">
        <f t="shared" si="15"/>
        <v>21.389700000000001</v>
      </c>
      <c r="M97" s="75"/>
      <c r="N97" s="76"/>
      <c r="O97" s="75"/>
      <c r="P97" s="76"/>
      <c r="Q97" s="71">
        <v>95</v>
      </c>
      <c r="R97" s="24"/>
      <c r="S97" s="25">
        <f t="shared" si="18"/>
        <v>0</v>
      </c>
      <c r="T97" s="26"/>
      <c r="U97" s="25">
        <f t="shared" si="19"/>
        <v>0</v>
      </c>
      <c r="V97" s="25">
        <f t="shared" ref="V97" si="22">S97+U97</f>
        <v>0</v>
      </c>
      <c r="W97" s="25">
        <f t="shared" ref="W97" si="23">R97*T97+R97</f>
        <v>0</v>
      </c>
    </row>
    <row r="98" spans="1:23" ht="30">
      <c r="A98" s="23">
        <v>93</v>
      </c>
      <c r="B98" s="42" t="s">
        <v>64</v>
      </c>
      <c r="C98" s="3"/>
      <c r="D98" s="15"/>
      <c r="E98" s="72" t="s">
        <v>65</v>
      </c>
      <c r="F98" s="71">
        <v>85</v>
      </c>
      <c r="G98" s="73">
        <v>1.84</v>
      </c>
      <c r="H98" s="73">
        <f t="shared" si="12"/>
        <v>156.4</v>
      </c>
      <c r="I98" s="74">
        <v>0.23</v>
      </c>
      <c r="J98" s="73">
        <f t="shared" si="13"/>
        <v>35.972000000000001</v>
      </c>
      <c r="K98" s="73">
        <f t="shared" si="14"/>
        <v>192.37200000000001</v>
      </c>
      <c r="L98" s="73">
        <f t="shared" si="15"/>
        <v>2.2632000000000003</v>
      </c>
      <c r="M98" s="75">
        <f>2+2+5+3+3+5+1</f>
        <v>21</v>
      </c>
      <c r="N98" s="76">
        <f t="shared" si="16"/>
        <v>47.527200000000008</v>
      </c>
      <c r="O98" s="75">
        <f>2+2+5+3+3+5+1</f>
        <v>21</v>
      </c>
      <c r="P98" s="76">
        <f t="shared" si="17"/>
        <v>47.527200000000008</v>
      </c>
      <c r="Q98" s="75">
        <v>25</v>
      </c>
      <c r="R98" s="32"/>
      <c r="S98" s="32">
        <f t="shared" si="18"/>
        <v>0</v>
      </c>
      <c r="T98" s="33"/>
      <c r="U98" s="35">
        <f t="shared" si="19"/>
        <v>0</v>
      </c>
      <c r="V98" s="32">
        <f t="shared" si="20"/>
        <v>0</v>
      </c>
      <c r="W98" s="32">
        <f t="shared" si="21"/>
        <v>0</v>
      </c>
    </row>
    <row r="99" spans="1:23" ht="30">
      <c r="A99" s="23">
        <v>94</v>
      </c>
      <c r="B99" s="42" t="s">
        <v>66</v>
      </c>
      <c r="C99" s="3"/>
      <c r="D99" s="15"/>
      <c r="E99" s="72" t="s">
        <v>65</v>
      </c>
      <c r="F99" s="71">
        <v>85</v>
      </c>
      <c r="G99" s="73">
        <v>2.92</v>
      </c>
      <c r="H99" s="73">
        <f t="shared" si="12"/>
        <v>248.2</v>
      </c>
      <c r="I99" s="74">
        <v>0.23</v>
      </c>
      <c r="J99" s="73">
        <f t="shared" si="13"/>
        <v>57.085999999999999</v>
      </c>
      <c r="K99" s="73">
        <f t="shared" si="14"/>
        <v>305.286</v>
      </c>
      <c r="L99" s="73">
        <f t="shared" si="15"/>
        <v>3.5915999999999997</v>
      </c>
      <c r="M99" s="75">
        <f>5+2+2+5+2+3+2+5+2+2+1+10+2+10+1</f>
        <v>54</v>
      </c>
      <c r="N99" s="76">
        <f t="shared" si="16"/>
        <v>193.94639999999998</v>
      </c>
      <c r="O99" s="75">
        <f>5+2+2+5+2+3+2+5+2+2+10+1+2+10+1</f>
        <v>54</v>
      </c>
      <c r="P99" s="76">
        <f t="shared" si="17"/>
        <v>193.94639999999998</v>
      </c>
      <c r="Q99" s="75">
        <v>56</v>
      </c>
      <c r="R99" s="32"/>
      <c r="S99" s="32">
        <f t="shared" si="18"/>
        <v>0</v>
      </c>
      <c r="T99" s="33"/>
      <c r="U99" s="35">
        <f t="shared" si="19"/>
        <v>0</v>
      </c>
      <c r="V99" s="32">
        <f t="shared" si="20"/>
        <v>0</v>
      </c>
      <c r="W99" s="32">
        <f t="shared" si="21"/>
        <v>0</v>
      </c>
    </row>
    <row r="100" spans="1:23" ht="30">
      <c r="A100" s="23">
        <v>95</v>
      </c>
      <c r="B100" s="42" t="s">
        <v>67</v>
      </c>
      <c r="C100" s="3"/>
      <c r="D100" s="15"/>
      <c r="E100" s="72" t="s">
        <v>65</v>
      </c>
      <c r="F100" s="71">
        <v>100</v>
      </c>
      <c r="G100" s="73">
        <v>2.92</v>
      </c>
      <c r="H100" s="73">
        <f t="shared" si="12"/>
        <v>292</v>
      </c>
      <c r="I100" s="74">
        <v>0.23</v>
      </c>
      <c r="J100" s="73">
        <f t="shared" si="13"/>
        <v>67.16</v>
      </c>
      <c r="K100" s="73">
        <f t="shared" si="14"/>
        <v>359.15999999999997</v>
      </c>
      <c r="L100" s="73">
        <f t="shared" si="15"/>
        <v>3.5915999999999997</v>
      </c>
      <c r="M100" s="75">
        <f>5+2+2+2+5+1+5+4+1</f>
        <v>27</v>
      </c>
      <c r="N100" s="76">
        <f t="shared" si="16"/>
        <v>96.973199999999991</v>
      </c>
      <c r="O100" s="75">
        <f>5+2+2+2+5+1+5+1</f>
        <v>23</v>
      </c>
      <c r="P100" s="76">
        <f t="shared" si="17"/>
        <v>82.606799999999993</v>
      </c>
      <c r="Q100" s="75">
        <v>30</v>
      </c>
      <c r="R100" s="32"/>
      <c r="S100" s="32">
        <f t="shared" si="18"/>
        <v>0</v>
      </c>
      <c r="T100" s="33"/>
      <c r="U100" s="35">
        <f t="shared" si="19"/>
        <v>0</v>
      </c>
      <c r="V100" s="32">
        <f t="shared" si="20"/>
        <v>0</v>
      </c>
      <c r="W100" s="32">
        <f t="shared" si="21"/>
        <v>0</v>
      </c>
    </row>
    <row r="101" spans="1:23" ht="30">
      <c r="A101" s="23">
        <v>96</v>
      </c>
      <c r="B101" s="42" t="s">
        <v>68</v>
      </c>
      <c r="C101" s="3"/>
      <c r="D101" s="15"/>
      <c r="E101" s="72" t="s">
        <v>65</v>
      </c>
      <c r="F101" s="71">
        <v>90</v>
      </c>
      <c r="G101" s="73">
        <v>1.84</v>
      </c>
      <c r="H101" s="73">
        <f t="shared" si="12"/>
        <v>165.6</v>
      </c>
      <c r="I101" s="74">
        <v>0.23</v>
      </c>
      <c r="J101" s="73">
        <f t="shared" si="13"/>
        <v>38.088000000000001</v>
      </c>
      <c r="K101" s="73">
        <f t="shared" si="14"/>
        <v>203.68799999999999</v>
      </c>
      <c r="L101" s="73">
        <f t="shared" si="15"/>
        <v>2.2632000000000003</v>
      </c>
      <c r="M101" s="75">
        <f>5+5+5+10+6+2+5+1+5+2+1</f>
        <v>47</v>
      </c>
      <c r="N101" s="76">
        <f t="shared" si="16"/>
        <v>106.37040000000002</v>
      </c>
      <c r="O101" s="75">
        <f>5+5+10+5+6+2+5+1+5+2+1</f>
        <v>47</v>
      </c>
      <c r="P101" s="76">
        <f t="shared" si="17"/>
        <v>106.37040000000002</v>
      </c>
      <c r="Q101" s="75">
        <v>50</v>
      </c>
      <c r="R101" s="32"/>
      <c r="S101" s="32">
        <f t="shared" si="18"/>
        <v>0</v>
      </c>
      <c r="T101" s="33"/>
      <c r="U101" s="35">
        <f t="shared" si="19"/>
        <v>0</v>
      </c>
      <c r="V101" s="32">
        <f t="shared" si="20"/>
        <v>0</v>
      </c>
      <c r="W101" s="32">
        <f t="shared" si="21"/>
        <v>0</v>
      </c>
    </row>
    <row r="102" spans="1:23" ht="30">
      <c r="A102" s="23">
        <v>97</v>
      </c>
      <c r="B102" s="42" t="s">
        <v>69</v>
      </c>
      <c r="C102" s="3"/>
      <c r="D102" s="15"/>
      <c r="E102" s="72" t="s">
        <v>2</v>
      </c>
      <c r="F102" s="71">
        <v>140</v>
      </c>
      <c r="G102" s="73">
        <v>8.0399999999999991</v>
      </c>
      <c r="H102" s="73">
        <f t="shared" si="12"/>
        <v>1125.5999999999999</v>
      </c>
      <c r="I102" s="74">
        <v>0.23</v>
      </c>
      <c r="J102" s="73">
        <f t="shared" si="13"/>
        <v>258.88799999999998</v>
      </c>
      <c r="K102" s="73">
        <f t="shared" si="14"/>
        <v>1384.4879999999998</v>
      </c>
      <c r="L102" s="73">
        <f t="shared" si="15"/>
        <v>9.8891999999999989</v>
      </c>
      <c r="M102" s="75">
        <f>5+3+3+3+6+2+3+2+10+3+1+6+10+5+5+3+2+1+2+5+4</f>
        <v>84</v>
      </c>
      <c r="N102" s="76">
        <f t="shared" si="16"/>
        <v>830.69279999999992</v>
      </c>
      <c r="O102" s="75">
        <f>5+3+3+3+6+2+3+10+2+3+1+6+5+5+10+2+1+3+5+2</f>
        <v>80</v>
      </c>
      <c r="P102" s="76">
        <f t="shared" si="17"/>
        <v>791.13599999999997</v>
      </c>
      <c r="Q102" s="75">
        <v>320</v>
      </c>
      <c r="R102" s="32"/>
      <c r="S102" s="32">
        <f t="shared" si="18"/>
        <v>0</v>
      </c>
      <c r="T102" s="33"/>
      <c r="U102" s="35">
        <f t="shared" si="19"/>
        <v>0</v>
      </c>
      <c r="V102" s="32">
        <f t="shared" si="20"/>
        <v>0</v>
      </c>
      <c r="W102" s="32">
        <f t="shared" si="21"/>
        <v>0</v>
      </c>
    </row>
    <row r="103" spans="1:23" ht="45">
      <c r="A103" s="23">
        <v>98</v>
      </c>
      <c r="B103" s="42" t="s">
        <v>70</v>
      </c>
      <c r="C103" s="3"/>
      <c r="D103" s="15"/>
      <c r="E103" s="72" t="s">
        <v>2</v>
      </c>
      <c r="F103" s="71">
        <v>12</v>
      </c>
      <c r="G103" s="73">
        <v>11.5</v>
      </c>
      <c r="H103" s="73">
        <f t="shared" si="12"/>
        <v>138</v>
      </c>
      <c r="I103" s="74">
        <v>0.23</v>
      </c>
      <c r="J103" s="73">
        <f t="shared" si="13"/>
        <v>31.740000000000002</v>
      </c>
      <c r="K103" s="73">
        <f t="shared" si="14"/>
        <v>169.74</v>
      </c>
      <c r="L103" s="73">
        <f t="shared" si="15"/>
        <v>14.145</v>
      </c>
      <c r="M103" s="75">
        <f>1+10+1</f>
        <v>12</v>
      </c>
      <c r="N103" s="76">
        <f t="shared" si="16"/>
        <v>169.74</v>
      </c>
      <c r="O103" s="75">
        <f>1+10+1</f>
        <v>12</v>
      </c>
      <c r="P103" s="76">
        <f t="shared" si="17"/>
        <v>169.74</v>
      </c>
      <c r="Q103" s="75">
        <v>60</v>
      </c>
      <c r="R103" s="32"/>
      <c r="S103" s="32">
        <f t="shared" si="18"/>
        <v>0</v>
      </c>
      <c r="T103" s="33"/>
      <c r="U103" s="35">
        <f t="shared" si="19"/>
        <v>0</v>
      </c>
      <c r="V103" s="32">
        <f t="shared" si="20"/>
        <v>0</v>
      </c>
      <c r="W103" s="32">
        <f t="shared" si="21"/>
        <v>0</v>
      </c>
    </row>
    <row r="104" spans="1:23" ht="30">
      <c r="A104" s="23">
        <v>99</v>
      </c>
      <c r="B104" s="42" t="s">
        <v>221</v>
      </c>
      <c r="C104" s="3"/>
      <c r="D104" s="3"/>
      <c r="E104" s="81" t="s">
        <v>2</v>
      </c>
      <c r="F104" s="71">
        <v>35</v>
      </c>
      <c r="G104" s="73">
        <v>27.75</v>
      </c>
      <c r="H104" s="73">
        <f t="shared" si="12"/>
        <v>971.25</v>
      </c>
      <c r="I104" s="74">
        <v>0.23</v>
      </c>
      <c r="J104" s="73">
        <f t="shared" si="13"/>
        <v>223.38750000000002</v>
      </c>
      <c r="K104" s="73">
        <f t="shared" si="14"/>
        <v>1194.6375</v>
      </c>
      <c r="L104" s="73">
        <f t="shared" si="15"/>
        <v>34.1325</v>
      </c>
      <c r="M104" s="75">
        <f>5+4+5+5+2+2+10+5+2+6+1+1+6+2+6+3+2+1+2+5+3</f>
        <v>78</v>
      </c>
      <c r="N104" s="76">
        <f t="shared" si="16"/>
        <v>2662.335</v>
      </c>
      <c r="O104" s="75">
        <f>5+4+5+5+2+2+10+5+2+6+1+6+1+2+6+3+2+1+3</f>
        <v>71</v>
      </c>
      <c r="P104" s="76">
        <f t="shared" si="17"/>
        <v>2423.4074999999998</v>
      </c>
      <c r="Q104" s="75">
        <v>80</v>
      </c>
      <c r="R104" s="32"/>
      <c r="S104" s="32">
        <f t="shared" si="18"/>
        <v>0</v>
      </c>
      <c r="T104" s="33"/>
      <c r="U104" s="32">
        <f t="shared" ref="U104" si="24">R104+T104</f>
        <v>0</v>
      </c>
      <c r="V104" s="32">
        <f t="shared" ref="V104" si="25">S104+S104*T104</f>
        <v>0</v>
      </c>
      <c r="W104" s="32">
        <f t="shared" si="21"/>
        <v>0</v>
      </c>
    </row>
    <row r="105" spans="1:23" s="41" customFormat="1">
      <c r="A105" s="23">
        <v>100</v>
      </c>
      <c r="B105" s="42" t="s">
        <v>71</v>
      </c>
      <c r="C105" s="36"/>
      <c r="D105" s="37"/>
      <c r="E105" s="72" t="s">
        <v>2</v>
      </c>
      <c r="F105" s="71">
        <v>12</v>
      </c>
      <c r="G105" s="77">
        <v>17</v>
      </c>
      <c r="H105" s="77">
        <f t="shared" si="12"/>
        <v>204</v>
      </c>
      <c r="I105" s="78">
        <v>0.23</v>
      </c>
      <c r="J105" s="77">
        <f t="shared" si="13"/>
        <v>46.92</v>
      </c>
      <c r="K105" s="77">
        <f t="shared" si="14"/>
        <v>250.92000000000002</v>
      </c>
      <c r="L105" s="77">
        <f t="shared" si="15"/>
        <v>20.91</v>
      </c>
      <c r="M105" s="79">
        <f>1+1+2+4+4</f>
        <v>12</v>
      </c>
      <c r="N105" s="80">
        <f t="shared" si="16"/>
        <v>250.92000000000002</v>
      </c>
      <c r="O105" s="79">
        <f>1+1+2+4+4</f>
        <v>12</v>
      </c>
      <c r="P105" s="80">
        <f t="shared" si="17"/>
        <v>250.92000000000002</v>
      </c>
      <c r="Q105" s="79">
        <v>12</v>
      </c>
      <c r="R105" s="38"/>
      <c r="S105" s="38">
        <f t="shared" si="18"/>
        <v>0</v>
      </c>
      <c r="T105" s="39"/>
      <c r="U105" s="40">
        <f t="shared" si="19"/>
        <v>0</v>
      </c>
      <c r="V105" s="38">
        <f t="shared" si="20"/>
        <v>0</v>
      </c>
      <c r="W105" s="32">
        <f t="shared" si="21"/>
        <v>0</v>
      </c>
    </row>
    <row r="106" spans="1:23" s="41" customFormat="1" ht="30">
      <c r="A106" s="23">
        <v>101</v>
      </c>
      <c r="B106" s="42" t="s">
        <v>185</v>
      </c>
      <c r="C106" s="3"/>
      <c r="D106" s="3"/>
      <c r="E106" s="81" t="s">
        <v>1</v>
      </c>
      <c r="F106" s="71">
        <v>3</v>
      </c>
      <c r="G106" s="73">
        <v>24.7</v>
      </c>
      <c r="H106" s="73">
        <f t="shared" si="12"/>
        <v>74.099999999999994</v>
      </c>
      <c r="I106" s="74">
        <v>0.23</v>
      </c>
      <c r="J106" s="73">
        <f t="shared" si="13"/>
        <v>17.042999999999999</v>
      </c>
      <c r="K106" s="73">
        <f t="shared" si="14"/>
        <v>91.143000000000001</v>
      </c>
      <c r="L106" s="73">
        <f t="shared" si="15"/>
        <v>30.381</v>
      </c>
      <c r="M106" s="75"/>
      <c r="N106" s="76">
        <f t="shared" si="16"/>
        <v>0</v>
      </c>
      <c r="O106" s="75"/>
      <c r="P106" s="76">
        <f t="shared" si="17"/>
        <v>0</v>
      </c>
      <c r="Q106" s="75">
        <v>3</v>
      </c>
      <c r="R106" s="32"/>
      <c r="S106" s="32">
        <f t="shared" si="18"/>
        <v>0</v>
      </c>
      <c r="T106" s="33"/>
      <c r="U106" s="32">
        <f t="shared" ref="U106:U108" si="26">R106+T106</f>
        <v>0</v>
      </c>
      <c r="V106" s="32">
        <f t="shared" ref="V106:V108" si="27">S106+S106*T106</f>
        <v>0</v>
      </c>
      <c r="W106" s="32">
        <f t="shared" si="21"/>
        <v>0</v>
      </c>
    </row>
    <row r="107" spans="1:23" s="41" customFormat="1" ht="30">
      <c r="A107" s="23">
        <v>102</v>
      </c>
      <c r="B107" s="42" t="s">
        <v>186</v>
      </c>
      <c r="C107" s="3"/>
      <c r="D107" s="3"/>
      <c r="E107" s="81" t="s">
        <v>1</v>
      </c>
      <c r="F107" s="71">
        <v>1</v>
      </c>
      <c r="G107" s="73">
        <v>27.9</v>
      </c>
      <c r="H107" s="73">
        <f t="shared" si="12"/>
        <v>27.9</v>
      </c>
      <c r="I107" s="74">
        <v>0.23</v>
      </c>
      <c r="J107" s="73">
        <f t="shared" si="13"/>
        <v>6.4169999999999998</v>
      </c>
      <c r="K107" s="73">
        <f t="shared" si="14"/>
        <v>34.317</v>
      </c>
      <c r="L107" s="73">
        <f t="shared" si="15"/>
        <v>34.317</v>
      </c>
      <c r="M107" s="75"/>
      <c r="N107" s="76">
        <f t="shared" si="16"/>
        <v>0</v>
      </c>
      <c r="O107" s="75"/>
      <c r="P107" s="76">
        <f t="shared" si="17"/>
        <v>0</v>
      </c>
      <c r="Q107" s="75">
        <v>1</v>
      </c>
      <c r="R107" s="32"/>
      <c r="S107" s="32">
        <f t="shared" si="18"/>
        <v>0</v>
      </c>
      <c r="T107" s="33"/>
      <c r="U107" s="32">
        <f t="shared" si="26"/>
        <v>0</v>
      </c>
      <c r="V107" s="32">
        <f t="shared" si="27"/>
        <v>0</v>
      </c>
      <c r="W107" s="32">
        <f t="shared" si="21"/>
        <v>0</v>
      </c>
    </row>
    <row r="108" spans="1:23" s="41" customFormat="1" ht="30">
      <c r="A108" s="23">
        <v>103</v>
      </c>
      <c r="B108" s="42" t="s">
        <v>187</v>
      </c>
      <c r="C108" s="3"/>
      <c r="D108" s="3"/>
      <c r="E108" s="81" t="s">
        <v>1</v>
      </c>
      <c r="F108" s="71">
        <v>1</v>
      </c>
      <c r="G108" s="73">
        <v>37.6</v>
      </c>
      <c r="H108" s="73">
        <f t="shared" si="12"/>
        <v>37.6</v>
      </c>
      <c r="I108" s="74">
        <v>0.23</v>
      </c>
      <c r="J108" s="73">
        <f t="shared" si="13"/>
        <v>8.6480000000000015</v>
      </c>
      <c r="K108" s="73">
        <f t="shared" si="14"/>
        <v>46.248000000000005</v>
      </c>
      <c r="L108" s="73">
        <f t="shared" si="15"/>
        <v>46.248000000000005</v>
      </c>
      <c r="M108" s="75"/>
      <c r="N108" s="76">
        <f t="shared" si="16"/>
        <v>0</v>
      </c>
      <c r="O108" s="75"/>
      <c r="P108" s="76">
        <f t="shared" si="17"/>
        <v>0</v>
      </c>
      <c r="Q108" s="75">
        <v>1</v>
      </c>
      <c r="R108" s="32"/>
      <c r="S108" s="32">
        <f t="shared" si="18"/>
        <v>0</v>
      </c>
      <c r="T108" s="33"/>
      <c r="U108" s="32">
        <f t="shared" si="26"/>
        <v>0</v>
      </c>
      <c r="V108" s="32">
        <f t="shared" si="27"/>
        <v>0</v>
      </c>
      <c r="W108" s="32">
        <f t="shared" si="21"/>
        <v>0</v>
      </c>
    </row>
    <row r="109" spans="1:23" ht="30">
      <c r="A109" s="23">
        <v>104</v>
      </c>
      <c r="B109" s="42" t="s">
        <v>72</v>
      </c>
      <c r="C109" s="10"/>
      <c r="D109" s="16"/>
      <c r="E109" s="72" t="s">
        <v>1</v>
      </c>
      <c r="F109" s="71">
        <v>55</v>
      </c>
      <c r="G109" s="73">
        <v>0.33</v>
      </c>
      <c r="H109" s="73">
        <f t="shared" ref="H109:H149" si="28">F109*G109</f>
        <v>18.150000000000002</v>
      </c>
      <c r="I109" s="74">
        <v>0.23</v>
      </c>
      <c r="J109" s="73">
        <f t="shared" ref="J109:J149" si="29">H109*I109</f>
        <v>4.174500000000001</v>
      </c>
      <c r="K109" s="73">
        <f t="shared" ref="K109:K149" si="30">H109+J109</f>
        <v>22.324500000000004</v>
      </c>
      <c r="L109" s="73">
        <f t="shared" ref="L109:L149" si="31">G109*I109+G109</f>
        <v>0.40590000000000004</v>
      </c>
      <c r="M109" s="75">
        <f>2+5+10+4+5+5+5+5+5+1+2+10+8+5</f>
        <v>72</v>
      </c>
      <c r="N109" s="76">
        <f t="shared" ref="N109:N149" si="32">M109*L109</f>
        <v>29.224800000000002</v>
      </c>
      <c r="O109" s="75">
        <f>2+5+4+5+10+5+5+5+5+1+2+10+8+5</f>
        <v>72</v>
      </c>
      <c r="P109" s="76">
        <f t="shared" ref="P109:P149" si="33">O109*L109</f>
        <v>29.224800000000002</v>
      </c>
      <c r="Q109" s="75">
        <v>95</v>
      </c>
      <c r="R109" s="32"/>
      <c r="S109" s="32">
        <f t="shared" ref="S109:S149" si="34">Q109*R109</f>
        <v>0</v>
      </c>
      <c r="T109" s="33"/>
      <c r="U109" s="35">
        <f t="shared" ref="U109:U149" si="35">S109*T109</f>
        <v>0</v>
      </c>
      <c r="V109" s="32">
        <f t="shared" ref="V109:V149" si="36">R109+T109</f>
        <v>0</v>
      </c>
      <c r="W109" s="32">
        <f t="shared" ref="W109:W149" si="37">S109+S109*T109</f>
        <v>0</v>
      </c>
    </row>
    <row r="110" spans="1:23" ht="30">
      <c r="A110" s="23">
        <v>105</v>
      </c>
      <c r="B110" s="42" t="s">
        <v>73</v>
      </c>
      <c r="C110" s="10"/>
      <c r="D110" s="16"/>
      <c r="E110" s="72" t="s">
        <v>1</v>
      </c>
      <c r="F110" s="71">
        <v>20</v>
      </c>
      <c r="G110" s="73">
        <v>3.4</v>
      </c>
      <c r="H110" s="73">
        <f t="shared" si="28"/>
        <v>68</v>
      </c>
      <c r="I110" s="74">
        <v>0.23</v>
      </c>
      <c r="J110" s="73">
        <f t="shared" si="29"/>
        <v>15.64</v>
      </c>
      <c r="K110" s="73">
        <f t="shared" si="30"/>
        <v>83.64</v>
      </c>
      <c r="L110" s="73">
        <f t="shared" si="31"/>
        <v>4.1820000000000004</v>
      </c>
      <c r="M110" s="75">
        <f>2+3+3+2+3+1+2+1</f>
        <v>17</v>
      </c>
      <c r="N110" s="76">
        <f t="shared" si="32"/>
        <v>71.094000000000008</v>
      </c>
      <c r="O110" s="75">
        <f>2+3+3+2+1+3+2+1</f>
        <v>17</v>
      </c>
      <c r="P110" s="76">
        <f t="shared" si="33"/>
        <v>71.094000000000008</v>
      </c>
      <c r="Q110" s="75">
        <v>50</v>
      </c>
      <c r="R110" s="32"/>
      <c r="S110" s="32">
        <f t="shared" si="34"/>
        <v>0</v>
      </c>
      <c r="T110" s="33"/>
      <c r="U110" s="35">
        <f t="shared" si="35"/>
        <v>0</v>
      </c>
      <c r="V110" s="32">
        <f t="shared" si="36"/>
        <v>0</v>
      </c>
      <c r="W110" s="32">
        <f t="shared" si="37"/>
        <v>0</v>
      </c>
    </row>
    <row r="111" spans="1:23" ht="45">
      <c r="A111" s="23">
        <v>106</v>
      </c>
      <c r="B111" s="42" t="s">
        <v>176</v>
      </c>
      <c r="C111" s="3"/>
      <c r="D111" s="15"/>
      <c r="E111" s="72" t="s">
        <v>2</v>
      </c>
      <c r="F111" s="71">
        <v>12</v>
      </c>
      <c r="G111" s="73">
        <v>41.91</v>
      </c>
      <c r="H111" s="73">
        <f t="shared" si="28"/>
        <v>502.91999999999996</v>
      </c>
      <c r="I111" s="74">
        <v>0.23</v>
      </c>
      <c r="J111" s="73">
        <f t="shared" si="29"/>
        <v>115.6716</v>
      </c>
      <c r="K111" s="73">
        <f t="shared" si="30"/>
        <v>618.59159999999997</v>
      </c>
      <c r="L111" s="73">
        <f t="shared" si="31"/>
        <v>51.549299999999995</v>
      </c>
      <c r="M111" s="75">
        <f>1+1+1+1+1+2+1</f>
        <v>8</v>
      </c>
      <c r="N111" s="76">
        <f t="shared" si="32"/>
        <v>412.39439999999996</v>
      </c>
      <c r="O111" s="75">
        <f>1+1+1+1+1+2+1</f>
        <v>8</v>
      </c>
      <c r="P111" s="76">
        <f t="shared" si="33"/>
        <v>412.39439999999996</v>
      </c>
      <c r="Q111" s="75">
        <v>9</v>
      </c>
      <c r="R111" s="32"/>
      <c r="S111" s="32">
        <f t="shared" si="34"/>
        <v>0</v>
      </c>
      <c r="T111" s="33"/>
      <c r="U111" s="35">
        <f t="shared" si="35"/>
        <v>0</v>
      </c>
      <c r="V111" s="32">
        <f t="shared" si="36"/>
        <v>0</v>
      </c>
      <c r="W111" s="32">
        <f t="shared" si="37"/>
        <v>0</v>
      </c>
    </row>
    <row r="112" spans="1:23" ht="45">
      <c r="A112" s="23">
        <v>107</v>
      </c>
      <c r="B112" s="48" t="s">
        <v>74</v>
      </c>
      <c r="C112" s="3"/>
      <c r="D112" s="15"/>
      <c r="E112" s="72" t="s">
        <v>2</v>
      </c>
      <c r="F112" s="71">
        <v>20</v>
      </c>
      <c r="G112" s="73">
        <v>11.4</v>
      </c>
      <c r="H112" s="73">
        <f t="shared" si="28"/>
        <v>228</v>
      </c>
      <c r="I112" s="74">
        <v>0.23</v>
      </c>
      <c r="J112" s="73">
        <f t="shared" si="29"/>
        <v>52.440000000000005</v>
      </c>
      <c r="K112" s="73">
        <f t="shared" si="30"/>
        <v>280.44</v>
      </c>
      <c r="L112" s="73">
        <f t="shared" si="31"/>
        <v>14.022</v>
      </c>
      <c r="M112" s="75">
        <f>3+3+2+1+1+1</f>
        <v>11</v>
      </c>
      <c r="N112" s="76">
        <f t="shared" si="32"/>
        <v>154.24199999999999</v>
      </c>
      <c r="O112" s="75">
        <f>3+3+2+1+1+1</f>
        <v>11</v>
      </c>
      <c r="P112" s="76">
        <f t="shared" si="33"/>
        <v>154.24199999999999</v>
      </c>
      <c r="Q112" s="75">
        <v>12</v>
      </c>
      <c r="R112" s="32"/>
      <c r="S112" s="32">
        <f t="shared" si="34"/>
        <v>0</v>
      </c>
      <c r="T112" s="33"/>
      <c r="U112" s="35">
        <f t="shared" si="35"/>
        <v>0</v>
      </c>
      <c r="V112" s="32">
        <f t="shared" si="36"/>
        <v>0</v>
      </c>
      <c r="W112" s="32">
        <f t="shared" si="37"/>
        <v>0</v>
      </c>
    </row>
    <row r="113" spans="1:23" s="41" customFormat="1" ht="60">
      <c r="A113" s="23">
        <v>108</v>
      </c>
      <c r="B113" s="42" t="s">
        <v>210</v>
      </c>
      <c r="C113" s="36"/>
      <c r="D113" s="37"/>
      <c r="E113" s="72" t="s">
        <v>1</v>
      </c>
      <c r="F113" s="71">
        <v>130</v>
      </c>
      <c r="G113" s="77">
        <v>2.8</v>
      </c>
      <c r="H113" s="77">
        <f t="shared" si="28"/>
        <v>364</v>
      </c>
      <c r="I113" s="78">
        <v>0.23</v>
      </c>
      <c r="J113" s="77">
        <f t="shared" si="29"/>
        <v>83.72</v>
      </c>
      <c r="K113" s="77">
        <f t="shared" si="30"/>
        <v>447.72</v>
      </c>
      <c r="L113" s="77">
        <f t="shared" si="31"/>
        <v>3.444</v>
      </c>
      <c r="M113" s="79">
        <f>10+12+1+1+2+2+5+6+2+2+4+1+2+5+6+10+1+3+2+3+5+5+5</f>
        <v>95</v>
      </c>
      <c r="N113" s="80">
        <f t="shared" si="32"/>
        <v>327.18</v>
      </c>
      <c r="O113" s="79">
        <f>10+1+1+2+12+2+5+6+2+2+1+4+2+5+10+6+1+3+2+3+5+5+5</f>
        <v>95</v>
      </c>
      <c r="P113" s="80">
        <f t="shared" si="33"/>
        <v>327.18</v>
      </c>
      <c r="Q113" s="79">
        <v>100</v>
      </c>
      <c r="R113" s="38"/>
      <c r="S113" s="38">
        <f t="shared" si="34"/>
        <v>0</v>
      </c>
      <c r="T113" s="39"/>
      <c r="U113" s="40">
        <f t="shared" si="35"/>
        <v>0</v>
      </c>
      <c r="V113" s="38">
        <f t="shared" si="36"/>
        <v>0</v>
      </c>
      <c r="W113" s="38">
        <f t="shared" si="37"/>
        <v>0</v>
      </c>
    </row>
    <row r="114" spans="1:23" s="41" customFormat="1" ht="45">
      <c r="A114" s="23">
        <v>109</v>
      </c>
      <c r="B114" s="42" t="s">
        <v>211</v>
      </c>
      <c r="C114" s="36"/>
      <c r="D114" s="37"/>
      <c r="E114" s="72" t="s">
        <v>1</v>
      </c>
      <c r="F114" s="71">
        <v>85</v>
      </c>
      <c r="G114" s="77">
        <v>7.43</v>
      </c>
      <c r="H114" s="77">
        <f t="shared" si="28"/>
        <v>631.54999999999995</v>
      </c>
      <c r="I114" s="78">
        <v>0.23</v>
      </c>
      <c r="J114" s="77">
        <f t="shared" si="29"/>
        <v>145.25649999999999</v>
      </c>
      <c r="K114" s="77">
        <f t="shared" si="30"/>
        <v>776.80649999999991</v>
      </c>
      <c r="L114" s="77">
        <f t="shared" si="31"/>
        <v>9.1388999999999996</v>
      </c>
      <c r="M114" s="79">
        <f>10+3+2+2+2+5+2+5+10+1+1+2+3+12+5+5+2+5+5+3+14+1</f>
        <v>100</v>
      </c>
      <c r="N114" s="80">
        <f t="shared" si="32"/>
        <v>913.89</v>
      </c>
      <c r="O114" s="79">
        <f>10+3+2+2+2+5+2+5+10+1+1+2+3+5+12+5+2+5+5+3+14+1</f>
        <v>100</v>
      </c>
      <c r="P114" s="80">
        <f t="shared" si="33"/>
        <v>913.89</v>
      </c>
      <c r="Q114" s="79">
        <v>105</v>
      </c>
      <c r="R114" s="38"/>
      <c r="S114" s="38">
        <f t="shared" si="34"/>
        <v>0</v>
      </c>
      <c r="T114" s="39"/>
      <c r="U114" s="40">
        <f t="shared" si="35"/>
        <v>0</v>
      </c>
      <c r="V114" s="38">
        <f t="shared" si="36"/>
        <v>0</v>
      </c>
      <c r="W114" s="38">
        <f t="shared" si="37"/>
        <v>0</v>
      </c>
    </row>
    <row r="115" spans="1:23" ht="45">
      <c r="A115" s="23">
        <v>110</v>
      </c>
      <c r="B115" s="42" t="s">
        <v>212</v>
      </c>
      <c r="C115" s="10"/>
      <c r="D115" s="16"/>
      <c r="E115" s="72" t="s">
        <v>1</v>
      </c>
      <c r="F115" s="71">
        <v>160</v>
      </c>
      <c r="G115" s="73">
        <v>1.93</v>
      </c>
      <c r="H115" s="73">
        <f t="shared" si="28"/>
        <v>308.8</v>
      </c>
      <c r="I115" s="74">
        <v>0.23</v>
      </c>
      <c r="J115" s="73">
        <f t="shared" si="29"/>
        <v>71.024000000000001</v>
      </c>
      <c r="K115" s="73">
        <f t="shared" si="30"/>
        <v>379.82400000000001</v>
      </c>
      <c r="L115" s="73">
        <f t="shared" si="31"/>
        <v>2.3738999999999999</v>
      </c>
      <c r="M115" s="75">
        <f>10+1+1+5+8+6+5+2+3+5+5+4+2+5+24+10+20+2+2+5+5+15+10+1+5+2+10+24+8+30+10+58+5+5+5+12+20+10+1</f>
        <v>361</v>
      </c>
      <c r="N115" s="76">
        <f t="shared" si="32"/>
        <v>856.97789999999998</v>
      </c>
      <c r="O115" s="75">
        <f>10+6+1+5+8+1+5+3+5+2+5+4+2+5+24+10+20+2+2+5+5+10+15+1+5+2+10+24+8+10+30+58+5+5+20+12+5+10+1</f>
        <v>361</v>
      </c>
      <c r="P115" s="76">
        <f t="shared" si="33"/>
        <v>856.97789999999998</v>
      </c>
      <c r="Q115" s="75">
        <v>530</v>
      </c>
      <c r="R115" s="32"/>
      <c r="S115" s="32">
        <f t="shared" si="34"/>
        <v>0</v>
      </c>
      <c r="T115" s="33"/>
      <c r="U115" s="35">
        <f t="shared" si="35"/>
        <v>0</v>
      </c>
      <c r="V115" s="32">
        <f t="shared" si="36"/>
        <v>0</v>
      </c>
      <c r="W115" s="32">
        <f t="shared" si="37"/>
        <v>0</v>
      </c>
    </row>
    <row r="116" spans="1:23" ht="30">
      <c r="A116" s="23">
        <v>111</v>
      </c>
      <c r="B116" s="42" t="s">
        <v>148</v>
      </c>
      <c r="C116" s="3"/>
      <c r="D116" s="15"/>
      <c r="E116" s="72" t="s">
        <v>1</v>
      </c>
      <c r="F116" s="71">
        <v>160</v>
      </c>
      <c r="G116" s="73">
        <v>0.66</v>
      </c>
      <c r="H116" s="73">
        <f t="shared" si="28"/>
        <v>105.60000000000001</v>
      </c>
      <c r="I116" s="74">
        <v>0.23</v>
      </c>
      <c r="J116" s="73">
        <f t="shared" si="29"/>
        <v>24.288000000000004</v>
      </c>
      <c r="K116" s="73">
        <f t="shared" si="30"/>
        <v>129.88800000000001</v>
      </c>
      <c r="L116" s="73">
        <f t="shared" si="31"/>
        <v>0.81180000000000008</v>
      </c>
      <c r="M116" s="75">
        <f>10+10+24+10+8+6+10+15+20+10+10+2+5+15+10+10+5+15+20+20+5+5+5+6</f>
        <v>256</v>
      </c>
      <c r="N116" s="76">
        <f t="shared" si="32"/>
        <v>207.82080000000002</v>
      </c>
      <c r="O116" s="75">
        <f>10+24+10+10+8+6+10+20+10+10+5+2+10+10+5+15+20+20+5+5+5</f>
        <v>220</v>
      </c>
      <c r="P116" s="76">
        <f t="shared" si="33"/>
        <v>178.596</v>
      </c>
      <c r="Q116" s="75">
        <v>310</v>
      </c>
      <c r="R116" s="32"/>
      <c r="S116" s="32">
        <f t="shared" si="34"/>
        <v>0</v>
      </c>
      <c r="T116" s="33"/>
      <c r="U116" s="35">
        <f t="shared" si="35"/>
        <v>0</v>
      </c>
      <c r="V116" s="32">
        <f t="shared" si="36"/>
        <v>0</v>
      </c>
      <c r="W116" s="32">
        <f t="shared" si="37"/>
        <v>0</v>
      </c>
    </row>
    <row r="117" spans="1:23" ht="30">
      <c r="A117" s="23">
        <v>112</v>
      </c>
      <c r="B117" s="42" t="s">
        <v>213</v>
      </c>
      <c r="C117" s="3"/>
      <c r="D117" s="15"/>
      <c r="E117" s="72" t="s">
        <v>1</v>
      </c>
      <c r="F117" s="71">
        <v>20</v>
      </c>
      <c r="G117" s="73">
        <v>2.4700000000000002</v>
      </c>
      <c r="H117" s="73">
        <f t="shared" si="28"/>
        <v>49.400000000000006</v>
      </c>
      <c r="I117" s="74">
        <v>0.23</v>
      </c>
      <c r="J117" s="73">
        <f t="shared" si="29"/>
        <v>11.362000000000002</v>
      </c>
      <c r="K117" s="73">
        <f t="shared" si="30"/>
        <v>60.762000000000008</v>
      </c>
      <c r="L117" s="73">
        <f t="shared" si="31"/>
        <v>3.0381</v>
      </c>
      <c r="M117" s="75">
        <f>8+3+2</f>
        <v>13</v>
      </c>
      <c r="N117" s="76">
        <f t="shared" si="32"/>
        <v>39.4953</v>
      </c>
      <c r="O117" s="75">
        <f>8+3+2</f>
        <v>13</v>
      </c>
      <c r="P117" s="76">
        <f t="shared" si="33"/>
        <v>39.4953</v>
      </c>
      <c r="Q117" s="75">
        <v>15</v>
      </c>
      <c r="R117" s="32"/>
      <c r="S117" s="32">
        <f t="shared" si="34"/>
        <v>0</v>
      </c>
      <c r="T117" s="33"/>
      <c r="U117" s="35">
        <f t="shared" si="35"/>
        <v>0</v>
      </c>
      <c r="V117" s="32">
        <f t="shared" si="36"/>
        <v>0</v>
      </c>
      <c r="W117" s="32">
        <f t="shared" si="37"/>
        <v>0</v>
      </c>
    </row>
    <row r="118" spans="1:23" ht="30">
      <c r="A118" s="23">
        <v>113</v>
      </c>
      <c r="B118" s="44" t="s">
        <v>214</v>
      </c>
      <c r="C118" s="3"/>
      <c r="D118" s="15"/>
      <c r="E118" s="72" t="s">
        <v>4</v>
      </c>
      <c r="F118" s="71">
        <v>60</v>
      </c>
      <c r="G118" s="73">
        <v>1.1000000000000001</v>
      </c>
      <c r="H118" s="73">
        <f t="shared" si="28"/>
        <v>66</v>
      </c>
      <c r="I118" s="74">
        <v>0.23</v>
      </c>
      <c r="J118" s="73">
        <f t="shared" si="29"/>
        <v>15.180000000000001</v>
      </c>
      <c r="K118" s="73">
        <f t="shared" si="30"/>
        <v>81.180000000000007</v>
      </c>
      <c r="L118" s="73">
        <f t="shared" si="31"/>
        <v>1.3530000000000002</v>
      </c>
      <c r="M118" s="75">
        <f>5+30+2+2+10+5+5+5+4</f>
        <v>68</v>
      </c>
      <c r="N118" s="76">
        <f t="shared" si="32"/>
        <v>92.004000000000019</v>
      </c>
      <c r="O118" s="75">
        <f>5+30+2+2+10+5+5+5</f>
        <v>64</v>
      </c>
      <c r="P118" s="76">
        <f t="shared" si="33"/>
        <v>86.592000000000013</v>
      </c>
      <c r="Q118" s="75">
        <v>70</v>
      </c>
      <c r="R118" s="32"/>
      <c r="S118" s="32">
        <f t="shared" si="34"/>
        <v>0</v>
      </c>
      <c r="T118" s="33"/>
      <c r="U118" s="35">
        <f t="shared" si="35"/>
        <v>0</v>
      </c>
      <c r="V118" s="32">
        <f t="shared" si="36"/>
        <v>0</v>
      </c>
      <c r="W118" s="32">
        <f t="shared" si="37"/>
        <v>0</v>
      </c>
    </row>
    <row r="119" spans="1:23">
      <c r="A119" s="23">
        <v>114</v>
      </c>
      <c r="B119" s="42" t="s">
        <v>75</v>
      </c>
      <c r="C119" s="3"/>
      <c r="D119" s="15"/>
      <c r="E119" s="72" t="s">
        <v>1</v>
      </c>
      <c r="F119" s="71">
        <v>50</v>
      </c>
      <c r="G119" s="73">
        <v>3.6</v>
      </c>
      <c r="H119" s="73">
        <f t="shared" si="28"/>
        <v>180</v>
      </c>
      <c r="I119" s="74">
        <v>0.23</v>
      </c>
      <c r="J119" s="73">
        <f t="shared" si="29"/>
        <v>41.4</v>
      </c>
      <c r="K119" s="73">
        <f t="shared" si="30"/>
        <v>221.4</v>
      </c>
      <c r="L119" s="73">
        <f t="shared" si="31"/>
        <v>4.4279999999999999</v>
      </c>
      <c r="M119" s="75">
        <f>5+10+2+2+5+1+2+1+2</f>
        <v>30</v>
      </c>
      <c r="N119" s="76">
        <f t="shared" si="32"/>
        <v>132.84</v>
      </c>
      <c r="O119" s="75">
        <f>5+10+2+2+5+1+2</f>
        <v>27</v>
      </c>
      <c r="P119" s="76">
        <f t="shared" si="33"/>
        <v>119.556</v>
      </c>
      <c r="Q119" s="75">
        <v>35</v>
      </c>
      <c r="R119" s="32"/>
      <c r="S119" s="32">
        <f t="shared" si="34"/>
        <v>0</v>
      </c>
      <c r="T119" s="33"/>
      <c r="U119" s="35">
        <f t="shared" si="35"/>
        <v>0</v>
      </c>
      <c r="V119" s="32">
        <f t="shared" si="36"/>
        <v>0</v>
      </c>
      <c r="W119" s="32">
        <f t="shared" si="37"/>
        <v>0</v>
      </c>
    </row>
    <row r="120" spans="1:23" s="41" customFormat="1" ht="45">
      <c r="A120" s="23">
        <v>115</v>
      </c>
      <c r="B120" s="42" t="s">
        <v>215</v>
      </c>
      <c r="C120" s="12"/>
      <c r="D120" s="19"/>
      <c r="E120" s="72" t="s">
        <v>2</v>
      </c>
      <c r="F120" s="71">
        <v>20</v>
      </c>
      <c r="G120" s="77">
        <v>8.36</v>
      </c>
      <c r="H120" s="77">
        <f t="shared" si="28"/>
        <v>167.2</v>
      </c>
      <c r="I120" s="78">
        <v>0.23</v>
      </c>
      <c r="J120" s="77">
        <f t="shared" si="29"/>
        <v>38.455999999999996</v>
      </c>
      <c r="K120" s="77">
        <f t="shared" si="30"/>
        <v>205.65599999999998</v>
      </c>
      <c r="L120" s="77">
        <f t="shared" si="31"/>
        <v>10.2828</v>
      </c>
      <c r="M120" s="79">
        <f>6+2</f>
        <v>8</v>
      </c>
      <c r="N120" s="80">
        <f t="shared" si="32"/>
        <v>82.2624</v>
      </c>
      <c r="O120" s="79">
        <f>6+2</f>
        <v>8</v>
      </c>
      <c r="P120" s="80">
        <f t="shared" si="33"/>
        <v>82.2624</v>
      </c>
      <c r="Q120" s="79">
        <v>10</v>
      </c>
      <c r="R120" s="38"/>
      <c r="S120" s="38">
        <f t="shared" si="34"/>
        <v>0</v>
      </c>
      <c r="T120" s="39"/>
      <c r="U120" s="40">
        <f t="shared" si="35"/>
        <v>0</v>
      </c>
      <c r="V120" s="38">
        <f t="shared" si="36"/>
        <v>0</v>
      </c>
      <c r="W120" s="38">
        <f t="shared" si="37"/>
        <v>0</v>
      </c>
    </row>
    <row r="121" spans="1:23" s="41" customFormat="1" ht="45">
      <c r="A121" s="23">
        <v>116</v>
      </c>
      <c r="B121" s="42" t="s">
        <v>76</v>
      </c>
      <c r="C121" s="36"/>
      <c r="D121" s="37"/>
      <c r="E121" s="72" t="s">
        <v>2</v>
      </c>
      <c r="F121" s="71">
        <v>6</v>
      </c>
      <c r="G121" s="77">
        <v>6.15</v>
      </c>
      <c r="H121" s="77">
        <f t="shared" si="28"/>
        <v>36.900000000000006</v>
      </c>
      <c r="I121" s="78">
        <v>0.23</v>
      </c>
      <c r="J121" s="77">
        <f t="shared" si="29"/>
        <v>8.4870000000000019</v>
      </c>
      <c r="K121" s="77">
        <f t="shared" si="30"/>
        <v>45.387000000000008</v>
      </c>
      <c r="L121" s="77">
        <f t="shared" si="31"/>
        <v>7.5645000000000007</v>
      </c>
      <c r="M121" s="79">
        <f>1+2</f>
        <v>3</v>
      </c>
      <c r="N121" s="80">
        <f t="shared" si="32"/>
        <v>22.6935</v>
      </c>
      <c r="O121" s="79">
        <f>1+2</f>
        <v>3</v>
      </c>
      <c r="P121" s="80">
        <f t="shared" si="33"/>
        <v>22.6935</v>
      </c>
      <c r="Q121" s="79">
        <v>4</v>
      </c>
      <c r="R121" s="38"/>
      <c r="S121" s="38">
        <f t="shared" si="34"/>
        <v>0</v>
      </c>
      <c r="T121" s="39"/>
      <c r="U121" s="40">
        <f t="shared" si="35"/>
        <v>0</v>
      </c>
      <c r="V121" s="38">
        <f t="shared" si="36"/>
        <v>0</v>
      </c>
      <c r="W121" s="38">
        <f t="shared" si="37"/>
        <v>0</v>
      </c>
    </row>
    <row r="122" spans="1:23" s="41" customFormat="1" ht="30">
      <c r="A122" s="23">
        <v>117</v>
      </c>
      <c r="B122" s="42" t="s">
        <v>77</v>
      </c>
      <c r="C122" s="36"/>
      <c r="D122" s="37"/>
      <c r="E122" s="72" t="s">
        <v>2</v>
      </c>
      <c r="F122" s="71">
        <v>8</v>
      </c>
      <c r="G122" s="77">
        <v>3.11</v>
      </c>
      <c r="H122" s="77">
        <f t="shared" si="28"/>
        <v>24.88</v>
      </c>
      <c r="I122" s="78">
        <v>0.23</v>
      </c>
      <c r="J122" s="77">
        <f t="shared" si="29"/>
        <v>5.7224000000000004</v>
      </c>
      <c r="K122" s="77">
        <f t="shared" si="30"/>
        <v>30.602399999999999</v>
      </c>
      <c r="L122" s="77">
        <f t="shared" si="31"/>
        <v>3.8252999999999999</v>
      </c>
      <c r="M122" s="79">
        <f>2</f>
        <v>2</v>
      </c>
      <c r="N122" s="80">
        <f t="shared" si="32"/>
        <v>7.6505999999999998</v>
      </c>
      <c r="O122" s="79">
        <v>2</v>
      </c>
      <c r="P122" s="80">
        <f t="shared" si="33"/>
        <v>7.6505999999999998</v>
      </c>
      <c r="Q122" s="79">
        <v>3</v>
      </c>
      <c r="R122" s="38"/>
      <c r="S122" s="38">
        <f t="shared" si="34"/>
        <v>0</v>
      </c>
      <c r="T122" s="39"/>
      <c r="U122" s="40">
        <f t="shared" si="35"/>
        <v>0</v>
      </c>
      <c r="V122" s="38">
        <f t="shared" si="36"/>
        <v>0</v>
      </c>
      <c r="W122" s="38">
        <f t="shared" si="37"/>
        <v>0</v>
      </c>
    </row>
    <row r="123" spans="1:23" ht="30">
      <c r="A123" s="23">
        <v>118</v>
      </c>
      <c r="B123" s="42" t="s">
        <v>78</v>
      </c>
      <c r="C123" s="3"/>
      <c r="D123" s="15"/>
      <c r="E123" s="72" t="s">
        <v>1</v>
      </c>
      <c r="F123" s="71">
        <v>150</v>
      </c>
      <c r="G123" s="73">
        <v>2.0699999999999998</v>
      </c>
      <c r="H123" s="73">
        <f t="shared" si="28"/>
        <v>310.5</v>
      </c>
      <c r="I123" s="74">
        <v>0.23</v>
      </c>
      <c r="J123" s="73">
        <f t="shared" si="29"/>
        <v>71.415000000000006</v>
      </c>
      <c r="K123" s="73">
        <f t="shared" si="30"/>
        <v>381.91500000000002</v>
      </c>
      <c r="L123" s="73">
        <f t="shared" si="31"/>
        <v>2.5461</v>
      </c>
      <c r="M123" s="75">
        <f>2+5+20+4+5+5+4+2+2+5+3+5+15+1+1+5+6+3+5+3+3+5+6+2+7+5+1+1+3+10+2+15+10+5+5+5+3+4+5+4</f>
        <v>202</v>
      </c>
      <c r="N123" s="76">
        <f t="shared" si="32"/>
        <v>514.31219999999996</v>
      </c>
      <c r="O123" s="75">
        <f>5+2+4+20+5+4+5+2+2+5+3+5+15+1+6+3+5+3+3+2+7+6+5+1+3+1+10+2+15+3+3+5+10+5+10+3+5+4+4</f>
        <v>202</v>
      </c>
      <c r="P123" s="76">
        <f t="shared" si="33"/>
        <v>514.31219999999996</v>
      </c>
      <c r="Q123" s="75">
        <v>330</v>
      </c>
      <c r="R123" s="32"/>
      <c r="S123" s="32">
        <f t="shared" si="34"/>
        <v>0</v>
      </c>
      <c r="T123" s="33"/>
      <c r="U123" s="35">
        <f t="shared" si="35"/>
        <v>0</v>
      </c>
      <c r="V123" s="32">
        <f t="shared" si="36"/>
        <v>0</v>
      </c>
      <c r="W123" s="32">
        <f t="shared" si="37"/>
        <v>0</v>
      </c>
    </row>
    <row r="124" spans="1:23" ht="30">
      <c r="A124" s="23">
        <v>119</v>
      </c>
      <c r="B124" s="42" t="s">
        <v>79</v>
      </c>
      <c r="C124" s="3"/>
      <c r="D124" s="15"/>
      <c r="E124" s="72" t="s">
        <v>1</v>
      </c>
      <c r="F124" s="71">
        <v>12</v>
      </c>
      <c r="G124" s="73">
        <v>6.84</v>
      </c>
      <c r="H124" s="73">
        <f t="shared" si="28"/>
        <v>82.08</v>
      </c>
      <c r="I124" s="74">
        <v>0.23</v>
      </c>
      <c r="J124" s="73">
        <f t="shared" si="29"/>
        <v>18.878399999999999</v>
      </c>
      <c r="K124" s="73">
        <f t="shared" si="30"/>
        <v>100.9584</v>
      </c>
      <c r="L124" s="73">
        <f t="shared" si="31"/>
        <v>8.4131999999999998</v>
      </c>
      <c r="M124" s="75">
        <f>1+4+2+10+2+1+1</f>
        <v>21</v>
      </c>
      <c r="N124" s="76">
        <f t="shared" si="32"/>
        <v>176.6772</v>
      </c>
      <c r="O124" s="75">
        <f>1+4+2+10+2+1+1</f>
        <v>21</v>
      </c>
      <c r="P124" s="76">
        <f t="shared" si="33"/>
        <v>176.6772</v>
      </c>
      <c r="Q124" s="75">
        <v>21</v>
      </c>
      <c r="R124" s="32"/>
      <c r="S124" s="32">
        <f t="shared" si="34"/>
        <v>0</v>
      </c>
      <c r="T124" s="33"/>
      <c r="U124" s="35">
        <f t="shared" si="35"/>
        <v>0</v>
      </c>
      <c r="V124" s="32">
        <f t="shared" si="36"/>
        <v>0</v>
      </c>
      <c r="W124" s="32">
        <f t="shared" si="37"/>
        <v>0</v>
      </c>
    </row>
    <row r="125" spans="1:23" ht="33">
      <c r="A125" s="23">
        <v>120</v>
      </c>
      <c r="B125" s="42" t="s">
        <v>149</v>
      </c>
      <c r="C125" s="10"/>
      <c r="D125" s="16"/>
      <c r="E125" s="72" t="s">
        <v>2</v>
      </c>
      <c r="F125" s="71">
        <v>5</v>
      </c>
      <c r="G125" s="73">
        <v>14.65</v>
      </c>
      <c r="H125" s="73">
        <f t="shared" si="28"/>
        <v>73.25</v>
      </c>
      <c r="I125" s="74">
        <v>0.23</v>
      </c>
      <c r="J125" s="73">
        <f t="shared" si="29"/>
        <v>16.8475</v>
      </c>
      <c r="K125" s="73">
        <f t="shared" si="30"/>
        <v>90.097499999999997</v>
      </c>
      <c r="L125" s="73">
        <f t="shared" si="31"/>
        <v>18.019500000000001</v>
      </c>
      <c r="M125" s="75">
        <f>3+1+1+2+1+1+2+3+1</f>
        <v>15</v>
      </c>
      <c r="N125" s="76">
        <f t="shared" si="32"/>
        <v>270.29250000000002</v>
      </c>
      <c r="O125" s="75">
        <f>3+1+1+2+1+1+2+3+1</f>
        <v>15</v>
      </c>
      <c r="P125" s="76">
        <f t="shared" si="33"/>
        <v>270.29250000000002</v>
      </c>
      <c r="Q125" s="75">
        <v>25</v>
      </c>
      <c r="R125" s="32"/>
      <c r="S125" s="32">
        <f t="shared" si="34"/>
        <v>0</v>
      </c>
      <c r="T125" s="33"/>
      <c r="U125" s="35">
        <f t="shared" si="35"/>
        <v>0</v>
      </c>
      <c r="V125" s="32">
        <f t="shared" si="36"/>
        <v>0</v>
      </c>
      <c r="W125" s="32">
        <f t="shared" si="37"/>
        <v>0</v>
      </c>
    </row>
    <row r="126" spans="1:23" ht="30">
      <c r="A126" s="23">
        <v>121</v>
      </c>
      <c r="B126" s="42" t="s">
        <v>80</v>
      </c>
      <c r="C126" s="3"/>
      <c r="D126" s="15"/>
      <c r="E126" s="72" t="s">
        <v>2</v>
      </c>
      <c r="F126" s="71">
        <v>5</v>
      </c>
      <c r="G126" s="73">
        <v>20.95</v>
      </c>
      <c r="H126" s="73">
        <f t="shared" si="28"/>
        <v>104.75</v>
      </c>
      <c r="I126" s="74">
        <v>0.23</v>
      </c>
      <c r="J126" s="73">
        <f t="shared" si="29"/>
        <v>24.092500000000001</v>
      </c>
      <c r="K126" s="73">
        <f t="shared" si="30"/>
        <v>128.8425</v>
      </c>
      <c r="L126" s="73">
        <f t="shared" si="31"/>
        <v>25.7685</v>
      </c>
      <c r="M126" s="75">
        <f>1+1+1+2+1</f>
        <v>6</v>
      </c>
      <c r="N126" s="76">
        <f t="shared" si="32"/>
        <v>154.61099999999999</v>
      </c>
      <c r="O126" s="75">
        <f>1+1+1+1+2</f>
        <v>6</v>
      </c>
      <c r="P126" s="76">
        <f t="shared" si="33"/>
        <v>154.61099999999999</v>
      </c>
      <c r="Q126" s="75">
        <v>16</v>
      </c>
      <c r="R126" s="32"/>
      <c r="S126" s="32">
        <f t="shared" si="34"/>
        <v>0</v>
      </c>
      <c r="T126" s="33"/>
      <c r="U126" s="35">
        <f t="shared" si="35"/>
        <v>0</v>
      </c>
      <c r="V126" s="32">
        <f t="shared" si="36"/>
        <v>0</v>
      </c>
      <c r="W126" s="32">
        <f t="shared" si="37"/>
        <v>0</v>
      </c>
    </row>
    <row r="127" spans="1:23" ht="30">
      <c r="A127" s="23">
        <v>122</v>
      </c>
      <c r="B127" s="42" t="s">
        <v>81</v>
      </c>
      <c r="C127" s="10"/>
      <c r="D127" s="16"/>
      <c r="E127" s="72" t="s">
        <v>1</v>
      </c>
      <c r="F127" s="71">
        <v>50</v>
      </c>
      <c r="G127" s="73">
        <v>4.7</v>
      </c>
      <c r="H127" s="73">
        <f t="shared" si="28"/>
        <v>235</v>
      </c>
      <c r="I127" s="74">
        <v>0.23</v>
      </c>
      <c r="J127" s="73">
        <f t="shared" si="29"/>
        <v>54.050000000000004</v>
      </c>
      <c r="K127" s="73">
        <f t="shared" si="30"/>
        <v>289.05</v>
      </c>
      <c r="L127" s="73">
        <f t="shared" si="31"/>
        <v>5.7810000000000006</v>
      </c>
      <c r="M127" s="75">
        <f>4+2+2+2+10+2+2+2+4+2+3+10+5+1+10+5</f>
        <v>66</v>
      </c>
      <c r="N127" s="76">
        <f t="shared" si="32"/>
        <v>381.54600000000005</v>
      </c>
      <c r="O127" s="75">
        <f>4+2+2+2+10+2+2+2+2+3+4+10+1+10</f>
        <v>56</v>
      </c>
      <c r="P127" s="76">
        <f t="shared" si="33"/>
        <v>323.73600000000005</v>
      </c>
      <c r="Q127" s="75">
        <v>230</v>
      </c>
      <c r="R127" s="32"/>
      <c r="S127" s="32">
        <f t="shared" si="34"/>
        <v>0</v>
      </c>
      <c r="T127" s="33"/>
      <c r="U127" s="35">
        <f t="shared" si="35"/>
        <v>0</v>
      </c>
      <c r="V127" s="32">
        <f t="shared" si="36"/>
        <v>0</v>
      </c>
      <c r="W127" s="32">
        <f t="shared" si="37"/>
        <v>0</v>
      </c>
    </row>
    <row r="128" spans="1:23" s="41" customFormat="1" ht="45">
      <c r="A128" s="23">
        <v>123</v>
      </c>
      <c r="B128" s="42" t="s">
        <v>216</v>
      </c>
      <c r="C128" s="36"/>
      <c r="D128" s="37"/>
      <c r="E128" s="72" t="s">
        <v>2</v>
      </c>
      <c r="F128" s="71">
        <v>60</v>
      </c>
      <c r="G128" s="77">
        <v>13.8</v>
      </c>
      <c r="H128" s="77">
        <f t="shared" si="28"/>
        <v>828</v>
      </c>
      <c r="I128" s="78">
        <v>0.23</v>
      </c>
      <c r="J128" s="77">
        <f t="shared" si="29"/>
        <v>190.44</v>
      </c>
      <c r="K128" s="77">
        <f t="shared" si="30"/>
        <v>1018.44</v>
      </c>
      <c r="L128" s="77">
        <f t="shared" si="31"/>
        <v>16.974</v>
      </c>
      <c r="M128" s="79">
        <f>3+1+1+2+2+1+1+1+2+2+2+5+2+1</f>
        <v>26</v>
      </c>
      <c r="N128" s="80">
        <f t="shared" si="32"/>
        <v>441.32400000000001</v>
      </c>
      <c r="O128" s="79">
        <f>1+3+1+2+2+1+1+2+2+2+5+1</f>
        <v>23</v>
      </c>
      <c r="P128" s="80">
        <f t="shared" si="33"/>
        <v>390.40199999999999</v>
      </c>
      <c r="Q128" s="79">
        <v>30</v>
      </c>
      <c r="R128" s="38"/>
      <c r="S128" s="38">
        <f t="shared" si="34"/>
        <v>0</v>
      </c>
      <c r="T128" s="39"/>
      <c r="U128" s="40">
        <f t="shared" si="35"/>
        <v>0</v>
      </c>
      <c r="V128" s="38">
        <f t="shared" si="36"/>
        <v>0</v>
      </c>
      <c r="W128" s="38">
        <f t="shared" si="37"/>
        <v>0</v>
      </c>
    </row>
    <row r="129" spans="1:23" ht="45">
      <c r="A129" s="23">
        <v>124</v>
      </c>
      <c r="B129" s="42" t="s">
        <v>150</v>
      </c>
      <c r="C129" s="3"/>
      <c r="D129" s="15"/>
      <c r="E129" s="72" t="s">
        <v>2</v>
      </c>
      <c r="F129" s="71">
        <v>35</v>
      </c>
      <c r="G129" s="73">
        <v>28.32</v>
      </c>
      <c r="H129" s="73">
        <f t="shared" si="28"/>
        <v>991.2</v>
      </c>
      <c r="I129" s="74">
        <v>0.23</v>
      </c>
      <c r="J129" s="73">
        <f t="shared" si="29"/>
        <v>227.97600000000003</v>
      </c>
      <c r="K129" s="73">
        <f t="shared" si="30"/>
        <v>1219.1760000000002</v>
      </c>
      <c r="L129" s="73">
        <f t="shared" si="31"/>
        <v>34.833600000000004</v>
      </c>
      <c r="M129" s="75">
        <f>2+3+2+1+2+6+1+2+2+2+1+1+2+4+2+10+1+1+1+1</f>
        <v>47</v>
      </c>
      <c r="N129" s="76">
        <f t="shared" si="32"/>
        <v>1637.1792000000003</v>
      </c>
      <c r="O129" s="75">
        <f>2+3+2+1+2+4+2+1+2+2+2+1+2+4+1+2+10+1+1</f>
        <v>45</v>
      </c>
      <c r="P129" s="76">
        <f t="shared" si="33"/>
        <v>1567.5120000000002</v>
      </c>
      <c r="Q129" s="75">
        <v>50</v>
      </c>
      <c r="R129" s="32"/>
      <c r="S129" s="32">
        <f t="shared" si="34"/>
        <v>0</v>
      </c>
      <c r="T129" s="33"/>
      <c r="U129" s="35">
        <f t="shared" si="35"/>
        <v>0</v>
      </c>
      <c r="V129" s="32">
        <f t="shared" si="36"/>
        <v>0</v>
      </c>
      <c r="W129" s="32">
        <f t="shared" si="37"/>
        <v>0</v>
      </c>
    </row>
    <row r="130" spans="1:23" ht="45">
      <c r="A130" s="23">
        <v>125</v>
      </c>
      <c r="B130" s="42" t="s">
        <v>151</v>
      </c>
      <c r="C130" s="3"/>
      <c r="D130" s="15"/>
      <c r="E130" s="72" t="s">
        <v>2</v>
      </c>
      <c r="F130" s="71">
        <v>60</v>
      </c>
      <c r="G130" s="73">
        <v>32.28</v>
      </c>
      <c r="H130" s="73">
        <f t="shared" si="28"/>
        <v>1936.8000000000002</v>
      </c>
      <c r="I130" s="74">
        <v>0.23</v>
      </c>
      <c r="J130" s="73">
        <f t="shared" si="29"/>
        <v>445.46400000000006</v>
      </c>
      <c r="K130" s="73">
        <f t="shared" si="30"/>
        <v>2382.2640000000001</v>
      </c>
      <c r="L130" s="73">
        <f t="shared" si="31"/>
        <v>39.7044</v>
      </c>
      <c r="M130" s="75">
        <f>2+3+1+1+1+2+2+2+1+1+6+2+2+1+1+2+1+2+2+1+10+2+2+2+1+1+1+1</f>
        <v>56</v>
      </c>
      <c r="N130" s="76">
        <f t="shared" si="32"/>
        <v>2223.4463999999998</v>
      </c>
      <c r="O130" s="75">
        <f>2+1+3+1+1+2+2+2+1+1+6+2+2+1+1+2+2+1+2+1+10+2+2+2+1+1</f>
        <v>54</v>
      </c>
      <c r="P130" s="76">
        <f t="shared" si="33"/>
        <v>2144.0376000000001</v>
      </c>
      <c r="Q130" s="75">
        <v>60</v>
      </c>
      <c r="R130" s="32"/>
      <c r="S130" s="32">
        <f t="shared" si="34"/>
        <v>0</v>
      </c>
      <c r="T130" s="33"/>
      <c r="U130" s="35">
        <f t="shared" si="35"/>
        <v>0</v>
      </c>
      <c r="V130" s="32">
        <f t="shared" si="36"/>
        <v>0</v>
      </c>
      <c r="W130" s="32">
        <f t="shared" si="37"/>
        <v>0</v>
      </c>
    </row>
    <row r="131" spans="1:23" ht="33">
      <c r="A131" s="23">
        <v>126</v>
      </c>
      <c r="B131" s="42" t="s">
        <v>152</v>
      </c>
      <c r="C131" s="3"/>
      <c r="D131" s="18"/>
      <c r="E131" s="72" t="s">
        <v>82</v>
      </c>
      <c r="F131" s="71">
        <v>15</v>
      </c>
      <c r="G131" s="73">
        <v>61</v>
      </c>
      <c r="H131" s="73">
        <f t="shared" si="28"/>
        <v>915</v>
      </c>
      <c r="I131" s="74">
        <v>0.23</v>
      </c>
      <c r="J131" s="73">
        <f t="shared" si="29"/>
        <v>210.45000000000002</v>
      </c>
      <c r="K131" s="73">
        <f t="shared" si="30"/>
        <v>1125.45</v>
      </c>
      <c r="L131" s="73">
        <f t="shared" si="31"/>
        <v>75.03</v>
      </c>
      <c r="M131" s="75">
        <f>1+1+1+1+1+5+1+1+1+1</f>
        <v>14</v>
      </c>
      <c r="N131" s="76">
        <f t="shared" si="32"/>
        <v>1050.42</v>
      </c>
      <c r="O131" s="75">
        <f>1+1+1+1+1+5+1+1+1+1</f>
        <v>14</v>
      </c>
      <c r="P131" s="76">
        <f t="shared" si="33"/>
        <v>1050.42</v>
      </c>
      <c r="Q131" s="75">
        <v>16</v>
      </c>
      <c r="R131" s="32"/>
      <c r="S131" s="32">
        <f t="shared" si="34"/>
        <v>0</v>
      </c>
      <c r="T131" s="33"/>
      <c r="U131" s="35">
        <f t="shared" si="35"/>
        <v>0</v>
      </c>
      <c r="V131" s="32">
        <f t="shared" si="36"/>
        <v>0</v>
      </c>
      <c r="W131" s="32">
        <f t="shared" si="37"/>
        <v>0</v>
      </c>
    </row>
    <row r="132" spans="1:23" ht="33">
      <c r="A132" s="23">
        <v>127</v>
      </c>
      <c r="B132" s="42" t="s">
        <v>153</v>
      </c>
      <c r="C132" s="3"/>
      <c r="D132" s="17"/>
      <c r="E132" s="72" t="s">
        <v>82</v>
      </c>
      <c r="F132" s="71">
        <v>40</v>
      </c>
      <c r="G132" s="73">
        <v>29.15</v>
      </c>
      <c r="H132" s="73">
        <f t="shared" si="28"/>
        <v>1166</v>
      </c>
      <c r="I132" s="74">
        <v>0.23</v>
      </c>
      <c r="J132" s="73">
        <f t="shared" si="29"/>
        <v>268.18</v>
      </c>
      <c r="K132" s="73">
        <f t="shared" si="30"/>
        <v>1434.18</v>
      </c>
      <c r="L132" s="73">
        <f t="shared" si="31"/>
        <v>35.854500000000002</v>
      </c>
      <c r="M132" s="75">
        <f>1+1+2+9+2+1+2+2</f>
        <v>20</v>
      </c>
      <c r="N132" s="76">
        <f t="shared" si="32"/>
        <v>717.09</v>
      </c>
      <c r="O132" s="75">
        <f>1+1+2+9+2+1+2+2</f>
        <v>20</v>
      </c>
      <c r="P132" s="76">
        <f t="shared" si="33"/>
        <v>717.09</v>
      </c>
      <c r="Q132" s="75">
        <v>25</v>
      </c>
      <c r="R132" s="32"/>
      <c r="S132" s="32">
        <f t="shared" si="34"/>
        <v>0</v>
      </c>
      <c r="T132" s="33"/>
      <c r="U132" s="35">
        <f t="shared" si="35"/>
        <v>0</v>
      </c>
      <c r="V132" s="32">
        <f t="shared" si="36"/>
        <v>0</v>
      </c>
      <c r="W132" s="32">
        <f t="shared" si="37"/>
        <v>0</v>
      </c>
    </row>
    <row r="133" spans="1:23" ht="48">
      <c r="A133" s="23">
        <v>128</v>
      </c>
      <c r="B133" s="42" t="s">
        <v>217</v>
      </c>
      <c r="C133" s="10"/>
      <c r="D133" s="16"/>
      <c r="E133" s="72" t="s">
        <v>82</v>
      </c>
      <c r="F133" s="71">
        <v>20</v>
      </c>
      <c r="G133" s="73">
        <v>27.4</v>
      </c>
      <c r="H133" s="73">
        <f t="shared" si="28"/>
        <v>548</v>
      </c>
      <c r="I133" s="74">
        <v>0.23</v>
      </c>
      <c r="J133" s="73">
        <f t="shared" si="29"/>
        <v>126.04</v>
      </c>
      <c r="K133" s="73">
        <f t="shared" si="30"/>
        <v>674.04</v>
      </c>
      <c r="L133" s="73">
        <f t="shared" si="31"/>
        <v>33.701999999999998</v>
      </c>
      <c r="M133" s="75">
        <f>15+10+1+2+10+2+2</f>
        <v>42</v>
      </c>
      <c r="N133" s="76">
        <f t="shared" si="32"/>
        <v>1415.4839999999999</v>
      </c>
      <c r="O133" s="75">
        <f>15+1+10+2+2+10+2</f>
        <v>42</v>
      </c>
      <c r="P133" s="76">
        <f t="shared" si="33"/>
        <v>1415.4839999999999</v>
      </c>
      <c r="Q133" s="75">
        <v>45</v>
      </c>
      <c r="R133" s="32"/>
      <c r="S133" s="32">
        <f t="shared" si="34"/>
        <v>0</v>
      </c>
      <c r="T133" s="33"/>
      <c r="U133" s="35">
        <f t="shared" si="35"/>
        <v>0</v>
      </c>
      <c r="V133" s="32">
        <f t="shared" si="36"/>
        <v>0</v>
      </c>
      <c r="W133" s="32">
        <f t="shared" si="37"/>
        <v>0</v>
      </c>
    </row>
    <row r="134" spans="1:23" ht="78">
      <c r="A134" s="23">
        <v>129</v>
      </c>
      <c r="B134" s="42" t="s">
        <v>218</v>
      </c>
      <c r="C134" s="3"/>
      <c r="D134" s="15"/>
      <c r="E134" s="72" t="s">
        <v>82</v>
      </c>
      <c r="F134" s="71">
        <v>480</v>
      </c>
      <c r="G134" s="73">
        <v>13.65</v>
      </c>
      <c r="H134" s="73">
        <f t="shared" si="28"/>
        <v>6552</v>
      </c>
      <c r="I134" s="74">
        <v>0.23</v>
      </c>
      <c r="J134" s="73">
        <f t="shared" si="29"/>
        <v>1506.96</v>
      </c>
      <c r="K134" s="73">
        <f t="shared" si="30"/>
        <v>8058.96</v>
      </c>
      <c r="L134" s="73">
        <f t="shared" si="31"/>
        <v>16.7895</v>
      </c>
      <c r="M134" s="75">
        <f>2+20+10+10+50+30+7+20+35+50+2+5+10+30+3+10+20+15+20+25+3+10+5+15+50+6+12+15+10+10+3+5+25+30+4+25+5+5+5+15+2+8+10+15+10+40+20+20+30+8+40+10+8+20+4</f>
        <v>877</v>
      </c>
      <c r="N134" s="76">
        <f t="shared" si="32"/>
        <v>14724.3915</v>
      </c>
      <c r="O134" s="75">
        <f>10+2+50+10+20+30+7+20+35+2+5+50+10+15+30+20+10+3+20+3+25+10+5+50+15+12+15+6+3+10+5+10+4+25+5+25+5+30+5+15+15+10+8+2+40+10+4+20+10+20+8+8+30</f>
        <v>817</v>
      </c>
      <c r="P134" s="76">
        <f t="shared" si="33"/>
        <v>13717.021500000001</v>
      </c>
      <c r="Q134" s="75">
        <v>1400</v>
      </c>
      <c r="R134" s="32"/>
      <c r="S134" s="32">
        <f t="shared" si="34"/>
        <v>0</v>
      </c>
      <c r="T134" s="33"/>
      <c r="U134" s="35">
        <f t="shared" si="35"/>
        <v>0</v>
      </c>
      <c r="V134" s="32">
        <f t="shared" si="36"/>
        <v>0</v>
      </c>
      <c r="W134" s="32">
        <f t="shared" si="37"/>
        <v>0</v>
      </c>
    </row>
    <row r="135" spans="1:23" ht="33">
      <c r="A135" s="23">
        <v>130</v>
      </c>
      <c r="B135" s="42" t="s">
        <v>154</v>
      </c>
      <c r="C135" s="3"/>
      <c r="D135" s="15"/>
      <c r="E135" s="72" t="s">
        <v>82</v>
      </c>
      <c r="F135" s="71">
        <v>12</v>
      </c>
      <c r="G135" s="73">
        <v>30</v>
      </c>
      <c r="H135" s="73">
        <f t="shared" si="28"/>
        <v>360</v>
      </c>
      <c r="I135" s="74">
        <v>0.23</v>
      </c>
      <c r="J135" s="73">
        <f t="shared" si="29"/>
        <v>82.8</v>
      </c>
      <c r="K135" s="73">
        <f t="shared" si="30"/>
        <v>442.8</v>
      </c>
      <c r="L135" s="73">
        <f t="shared" si="31"/>
        <v>36.9</v>
      </c>
      <c r="M135" s="75">
        <f>3+2+2+2+2</f>
        <v>11</v>
      </c>
      <c r="N135" s="76">
        <f t="shared" si="32"/>
        <v>405.9</v>
      </c>
      <c r="O135" s="75">
        <f>3+2+2+2+2</f>
        <v>11</v>
      </c>
      <c r="P135" s="76">
        <f t="shared" si="33"/>
        <v>405.9</v>
      </c>
      <c r="Q135" s="75">
        <v>12</v>
      </c>
      <c r="R135" s="32"/>
      <c r="S135" s="32">
        <f t="shared" si="34"/>
        <v>0</v>
      </c>
      <c r="T135" s="33"/>
      <c r="U135" s="35">
        <f t="shared" si="35"/>
        <v>0</v>
      </c>
      <c r="V135" s="32">
        <f t="shared" si="36"/>
        <v>0</v>
      </c>
      <c r="W135" s="32">
        <f t="shared" si="37"/>
        <v>0</v>
      </c>
    </row>
    <row r="136" spans="1:23" ht="63">
      <c r="A136" s="23">
        <v>131</v>
      </c>
      <c r="B136" s="42" t="s">
        <v>155</v>
      </c>
      <c r="C136" s="3"/>
      <c r="D136" s="15"/>
      <c r="E136" s="72" t="s">
        <v>82</v>
      </c>
      <c r="F136" s="71">
        <v>55</v>
      </c>
      <c r="G136" s="73">
        <v>6.83</v>
      </c>
      <c r="H136" s="73">
        <f t="shared" si="28"/>
        <v>375.65</v>
      </c>
      <c r="I136" s="74">
        <v>0.23</v>
      </c>
      <c r="J136" s="73">
        <f t="shared" si="29"/>
        <v>86.399500000000003</v>
      </c>
      <c r="K136" s="73">
        <f t="shared" si="30"/>
        <v>462.04949999999997</v>
      </c>
      <c r="L136" s="73">
        <f t="shared" si="31"/>
        <v>8.4009</v>
      </c>
      <c r="M136" s="75">
        <f>3+2+2+3+2+1+2+5+5+5+1</f>
        <v>31</v>
      </c>
      <c r="N136" s="76">
        <f t="shared" si="32"/>
        <v>260.42790000000002</v>
      </c>
      <c r="O136" s="75">
        <f>3+2+2+3+2+1+2+5+5+5+1</f>
        <v>31</v>
      </c>
      <c r="P136" s="76">
        <f t="shared" si="33"/>
        <v>260.42790000000002</v>
      </c>
      <c r="Q136" s="75">
        <v>35</v>
      </c>
      <c r="R136" s="32"/>
      <c r="S136" s="32">
        <f t="shared" si="34"/>
        <v>0</v>
      </c>
      <c r="T136" s="33"/>
      <c r="U136" s="35">
        <f t="shared" si="35"/>
        <v>0</v>
      </c>
      <c r="V136" s="32">
        <f t="shared" si="36"/>
        <v>0</v>
      </c>
      <c r="W136" s="32">
        <f t="shared" si="37"/>
        <v>0</v>
      </c>
    </row>
    <row r="137" spans="1:23" ht="30">
      <c r="A137" s="23">
        <v>132</v>
      </c>
      <c r="B137" s="42" t="s">
        <v>156</v>
      </c>
      <c r="C137" s="3"/>
      <c r="D137" s="15"/>
      <c r="E137" s="72" t="s">
        <v>1</v>
      </c>
      <c r="F137" s="71">
        <v>1000</v>
      </c>
      <c r="G137" s="73">
        <v>0.91</v>
      </c>
      <c r="H137" s="73">
        <f t="shared" si="28"/>
        <v>910</v>
      </c>
      <c r="I137" s="74">
        <v>0.23</v>
      </c>
      <c r="J137" s="73">
        <f t="shared" si="29"/>
        <v>209.3</v>
      </c>
      <c r="K137" s="73">
        <f t="shared" si="30"/>
        <v>1119.3</v>
      </c>
      <c r="L137" s="73">
        <f t="shared" si="31"/>
        <v>1.1193</v>
      </c>
      <c r="M137" s="75">
        <f>30+500+100+300+60+400+500+2+5+10+5+300+500+3</f>
        <v>2715</v>
      </c>
      <c r="N137" s="76">
        <f t="shared" si="32"/>
        <v>3038.8995</v>
      </c>
      <c r="O137" s="75">
        <f>30+500+100+300+60+400+500+2+5+300+10+5+500+3</f>
        <v>2715</v>
      </c>
      <c r="P137" s="76">
        <f t="shared" si="33"/>
        <v>3038.8995</v>
      </c>
      <c r="Q137" s="75">
        <v>2750</v>
      </c>
      <c r="R137" s="32"/>
      <c r="S137" s="32">
        <f t="shared" si="34"/>
        <v>0</v>
      </c>
      <c r="T137" s="33"/>
      <c r="U137" s="35">
        <f t="shared" si="35"/>
        <v>0</v>
      </c>
      <c r="V137" s="32">
        <f t="shared" si="36"/>
        <v>0</v>
      </c>
      <c r="W137" s="32">
        <f t="shared" si="37"/>
        <v>0</v>
      </c>
    </row>
    <row r="138" spans="1:23">
      <c r="A138" s="23">
        <v>133</v>
      </c>
      <c r="B138" s="42" t="s">
        <v>83</v>
      </c>
      <c r="C138" s="3"/>
      <c r="D138" s="15"/>
      <c r="E138" s="72" t="s">
        <v>2</v>
      </c>
      <c r="F138" s="71">
        <v>15</v>
      </c>
      <c r="G138" s="73">
        <v>1.21</v>
      </c>
      <c r="H138" s="73">
        <f t="shared" si="28"/>
        <v>18.149999999999999</v>
      </c>
      <c r="I138" s="74">
        <v>0.23</v>
      </c>
      <c r="J138" s="73">
        <f t="shared" si="29"/>
        <v>4.1745000000000001</v>
      </c>
      <c r="K138" s="73">
        <f t="shared" si="30"/>
        <v>22.3245</v>
      </c>
      <c r="L138" s="73">
        <f t="shared" si="31"/>
        <v>1.4883</v>
      </c>
      <c r="M138" s="75">
        <f>2+5+3+2+2+1+4+2+1+2+20+4+1</f>
        <v>49</v>
      </c>
      <c r="N138" s="76">
        <f t="shared" si="32"/>
        <v>72.926699999999997</v>
      </c>
      <c r="O138" s="75">
        <f>2+5+2+3+2+1+4+2+1+2+20+4+1</f>
        <v>49</v>
      </c>
      <c r="P138" s="76">
        <f t="shared" si="33"/>
        <v>72.926699999999997</v>
      </c>
      <c r="Q138" s="75">
        <v>60</v>
      </c>
      <c r="R138" s="32"/>
      <c r="S138" s="32">
        <f t="shared" si="34"/>
        <v>0</v>
      </c>
      <c r="T138" s="33"/>
      <c r="U138" s="35">
        <f t="shared" si="35"/>
        <v>0</v>
      </c>
      <c r="V138" s="32">
        <f t="shared" si="36"/>
        <v>0</v>
      </c>
      <c r="W138" s="32">
        <f t="shared" si="37"/>
        <v>0</v>
      </c>
    </row>
    <row r="139" spans="1:23" ht="30">
      <c r="A139" s="23">
        <v>134</v>
      </c>
      <c r="B139" s="44" t="s">
        <v>219</v>
      </c>
      <c r="C139" s="10"/>
      <c r="D139" s="16"/>
      <c r="E139" s="72" t="s">
        <v>1</v>
      </c>
      <c r="F139" s="71">
        <v>90</v>
      </c>
      <c r="G139" s="73">
        <v>3.23</v>
      </c>
      <c r="H139" s="73">
        <f t="shared" si="28"/>
        <v>290.7</v>
      </c>
      <c r="I139" s="74">
        <v>0.23</v>
      </c>
      <c r="J139" s="73">
        <f t="shared" si="29"/>
        <v>66.861000000000004</v>
      </c>
      <c r="K139" s="73">
        <f t="shared" si="30"/>
        <v>357.56099999999998</v>
      </c>
      <c r="L139" s="73">
        <f t="shared" si="31"/>
        <v>3.9729000000000001</v>
      </c>
      <c r="M139" s="75">
        <f>10+5+5+2+5+5+10</f>
        <v>42</v>
      </c>
      <c r="N139" s="76">
        <f t="shared" si="32"/>
        <v>166.86180000000002</v>
      </c>
      <c r="O139" s="75">
        <f>10+5+5+2+5+5+10</f>
        <v>42</v>
      </c>
      <c r="P139" s="76">
        <f t="shared" si="33"/>
        <v>166.86180000000002</v>
      </c>
      <c r="Q139" s="75">
        <v>45</v>
      </c>
      <c r="R139" s="32"/>
      <c r="S139" s="32">
        <f t="shared" si="34"/>
        <v>0</v>
      </c>
      <c r="T139" s="33"/>
      <c r="U139" s="35">
        <f t="shared" si="35"/>
        <v>0</v>
      </c>
      <c r="V139" s="32">
        <f t="shared" si="36"/>
        <v>0</v>
      </c>
      <c r="W139" s="32">
        <f t="shared" si="37"/>
        <v>0</v>
      </c>
    </row>
    <row r="140" spans="1:23" ht="45">
      <c r="A140" s="23">
        <v>135</v>
      </c>
      <c r="B140" s="42" t="s">
        <v>233</v>
      </c>
      <c r="C140" s="3"/>
      <c r="D140" s="15"/>
      <c r="E140" s="72" t="s">
        <v>1</v>
      </c>
      <c r="F140" s="71">
        <v>75</v>
      </c>
      <c r="G140" s="73">
        <v>14.02</v>
      </c>
      <c r="H140" s="73">
        <f t="shared" si="28"/>
        <v>1051.5</v>
      </c>
      <c r="I140" s="74">
        <v>0.23</v>
      </c>
      <c r="J140" s="73">
        <f t="shared" si="29"/>
        <v>241.845</v>
      </c>
      <c r="K140" s="73">
        <f t="shared" si="30"/>
        <v>1293.345</v>
      </c>
      <c r="L140" s="73">
        <f t="shared" si="31"/>
        <v>17.244599999999998</v>
      </c>
      <c r="M140" s="75">
        <f>2+4+5+3+10+5+2+15+1+2+5+1+15+15+2+9+4+2</f>
        <v>102</v>
      </c>
      <c r="N140" s="76">
        <f t="shared" si="32"/>
        <v>1758.9491999999998</v>
      </c>
      <c r="O140" s="75">
        <f>2+4+5+3+10+2+5+15+2+1+5+9+15+1+15+2+4+2</f>
        <v>102</v>
      </c>
      <c r="P140" s="76">
        <f t="shared" si="33"/>
        <v>1758.9491999999998</v>
      </c>
      <c r="Q140" s="75">
        <v>105</v>
      </c>
      <c r="R140" s="32"/>
      <c r="S140" s="32">
        <f t="shared" si="34"/>
        <v>0</v>
      </c>
      <c r="T140" s="33"/>
      <c r="U140" s="35">
        <f t="shared" si="35"/>
        <v>0</v>
      </c>
      <c r="V140" s="32">
        <f t="shared" si="36"/>
        <v>0</v>
      </c>
      <c r="W140" s="32">
        <f t="shared" si="37"/>
        <v>0</v>
      </c>
    </row>
    <row r="141" spans="1:23" ht="30">
      <c r="A141" s="23">
        <v>136</v>
      </c>
      <c r="B141" s="42" t="s">
        <v>84</v>
      </c>
      <c r="C141" s="10"/>
      <c r="D141" s="16"/>
      <c r="E141" s="72" t="s">
        <v>1</v>
      </c>
      <c r="F141" s="71">
        <v>230</v>
      </c>
      <c r="G141" s="73">
        <v>0.2</v>
      </c>
      <c r="H141" s="73">
        <f t="shared" si="28"/>
        <v>46</v>
      </c>
      <c r="I141" s="74">
        <v>0.23</v>
      </c>
      <c r="J141" s="73">
        <f t="shared" si="29"/>
        <v>10.58</v>
      </c>
      <c r="K141" s="73">
        <f t="shared" si="30"/>
        <v>56.58</v>
      </c>
      <c r="L141" s="73">
        <f t="shared" si="31"/>
        <v>0.24600000000000002</v>
      </c>
      <c r="M141" s="75">
        <f>20+20+10+20+10+10+10+10+50+4+60+5+30+20+6</f>
        <v>285</v>
      </c>
      <c r="N141" s="76">
        <f t="shared" si="32"/>
        <v>70.110000000000014</v>
      </c>
      <c r="O141" s="75">
        <f>20+10+20+20+10+10+10+10+50+60+4+5+30+20+6</f>
        <v>285</v>
      </c>
      <c r="P141" s="76">
        <f t="shared" si="33"/>
        <v>70.110000000000014</v>
      </c>
      <c r="Q141" s="75">
        <v>290</v>
      </c>
      <c r="R141" s="32"/>
      <c r="S141" s="32">
        <f t="shared" si="34"/>
        <v>0</v>
      </c>
      <c r="T141" s="33"/>
      <c r="U141" s="35">
        <f t="shared" si="35"/>
        <v>0</v>
      </c>
      <c r="V141" s="32">
        <f t="shared" si="36"/>
        <v>0</v>
      </c>
      <c r="W141" s="32">
        <f t="shared" si="37"/>
        <v>0</v>
      </c>
    </row>
    <row r="142" spans="1:23" ht="60">
      <c r="A142" s="23">
        <v>137</v>
      </c>
      <c r="B142" s="42" t="s">
        <v>85</v>
      </c>
      <c r="C142" s="12"/>
      <c r="D142" s="19"/>
      <c r="E142" s="72" t="s">
        <v>1</v>
      </c>
      <c r="F142" s="71">
        <v>20</v>
      </c>
      <c r="G142" s="73">
        <v>5.3</v>
      </c>
      <c r="H142" s="73">
        <f t="shared" si="28"/>
        <v>106</v>
      </c>
      <c r="I142" s="74">
        <v>0.23</v>
      </c>
      <c r="J142" s="73">
        <f t="shared" si="29"/>
        <v>24.380000000000003</v>
      </c>
      <c r="K142" s="73">
        <f t="shared" si="30"/>
        <v>130.38</v>
      </c>
      <c r="L142" s="73">
        <f t="shared" si="31"/>
        <v>6.5190000000000001</v>
      </c>
      <c r="M142" s="75">
        <f>2+2+1+1+2+2+2+2+2+5+2+50+1</f>
        <v>74</v>
      </c>
      <c r="N142" s="76">
        <f t="shared" si="32"/>
        <v>482.40600000000001</v>
      </c>
      <c r="O142" s="75">
        <f>2+2+1+1+2+2+2+2+5+2+21+1</f>
        <v>43</v>
      </c>
      <c r="P142" s="76">
        <f t="shared" si="33"/>
        <v>280.31700000000001</v>
      </c>
      <c r="Q142" s="75">
        <v>100</v>
      </c>
      <c r="R142" s="32"/>
      <c r="S142" s="32">
        <f t="shared" si="34"/>
        <v>0</v>
      </c>
      <c r="T142" s="33"/>
      <c r="U142" s="35">
        <f t="shared" si="35"/>
        <v>0</v>
      </c>
      <c r="V142" s="32">
        <f t="shared" si="36"/>
        <v>0</v>
      </c>
      <c r="W142" s="32">
        <f t="shared" si="37"/>
        <v>0</v>
      </c>
    </row>
    <row r="143" spans="1:23" ht="30">
      <c r="A143" s="23">
        <v>138</v>
      </c>
      <c r="B143" s="42" t="s">
        <v>86</v>
      </c>
      <c r="C143" s="3"/>
      <c r="D143" s="20"/>
      <c r="E143" s="72" t="s">
        <v>1</v>
      </c>
      <c r="F143" s="71">
        <v>10</v>
      </c>
      <c r="G143" s="73">
        <v>3.3</v>
      </c>
      <c r="H143" s="73">
        <f t="shared" si="28"/>
        <v>33</v>
      </c>
      <c r="I143" s="74">
        <v>0.23</v>
      </c>
      <c r="J143" s="73">
        <f t="shared" si="29"/>
        <v>7.5900000000000007</v>
      </c>
      <c r="K143" s="73">
        <f t="shared" si="30"/>
        <v>40.590000000000003</v>
      </c>
      <c r="L143" s="73">
        <f t="shared" si="31"/>
        <v>4.0590000000000002</v>
      </c>
      <c r="M143" s="75">
        <f>2+3+4+1+4+1+5+1</f>
        <v>21</v>
      </c>
      <c r="N143" s="76">
        <f t="shared" si="32"/>
        <v>85.239000000000004</v>
      </c>
      <c r="O143" s="75">
        <f>2+3+4+1+4+1+5+1</f>
        <v>21</v>
      </c>
      <c r="P143" s="76">
        <f t="shared" si="33"/>
        <v>85.239000000000004</v>
      </c>
      <c r="Q143" s="75">
        <v>22</v>
      </c>
      <c r="R143" s="32"/>
      <c r="S143" s="32">
        <f t="shared" si="34"/>
        <v>0</v>
      </c>
      <c r="T143" s="33"/>
      <c r="U143" s="35">
        <f t="shared" si="35"/>
        <v>0</v>
      </c>
      <c r="V143" s="32">
        <f t="shared" si="36"/>
        <v>0</v>
      </c>
      <c r="W143" s="32">
        <f t="shared" si="37"/>
        <v>0</v>
      </c>
    </row>
    <row r="144" spans="1:23" ht="30">
      <c r="A144" s="23">
        <v>139</v>
      </c>
      <c r="B144" s="42" t="s">
        <v>87</v>
      </c>
      <c r="C144" s="3"/>
      <c r="D144" s="15"/>
      <c r="E144" s="72" t="s">
        <v>1</v>
      </c>
      <c r="F144" s="71">
        <v>65</v>
      </c>
      <c r="G144" s="73">
        <v>2.42</v>
      </c>
      <c r="H144" s="73">
        <f t="shared" si="28"/>
        <v>157.29999999999998</v>
      </c>
      <c r="I144" s="74">
        <v>0.23</v>
      </c>
      <c r="J144" s="73">
        <f t="shared" si="29"/>
        <v>36.178999999999995</v>
      </c>
      <c r="K144" s="73">
        <f t="shared" si="30"/>
        <v>193.47899999999998</v>
      </c>
      <c r="L144" s="73">
        <f t="shared" si="31"/>
        <v>2.9765999999999999</v>
      </c>
      <c r="M144" s="75">
        <f>5+20+6+6+5+20+4+2+5+4+5+2+2</f>
        <v>86</v>
      </c>
      <c r="N144" s="76">
        <f t="shared" si="32"/>
        <v>255.98759999999999</v>
      </c>
      <c r="O144" s="75">
        <f>5+6+20+6+5+20+4+2+5+4+5+2+2</f>
        <v>86</v>
      </c>
      <c r="P144" s="76">
        <f t="shared" si="33"/>
        <v>255.98759999999999</v>
      </c>
      <c r="Q144" s="75">
        <v>86</v>
      </c>
      <c r="R144" s="32"/>
      <c r="S144" s="32">
        <f t="shared" si="34"/>
        <v>0</v>
      </c>
      <c r="T144" s="33"/>
      <c r="U144" s="35">
        <f t="shared" si="35"/>
        <v>0</v>
      </c>
      <c r="V144" s="32">
        <f t="shared" si="36"/>
        <v>0</v>
      </c>
      <c r="W144" s="32">
        <f t="shared" si="37"/>
        <v>0</v>
      </c>
    </row>
    <row r="145" spans="1:23" ht="30">
      <c r="A145" s="23">
        <v>140</v>
      </c>
      <c r="B145" s="42" t="s">
        <v>88</v>
      </c>
      <c r="C145" s="3"/>
      <c r="D145" s="15"/>
      <c r="E145" s="72" t="s">
        <v>1</v>
      </c>
      <c r="F145" s="71">
        <v>25</v>
      </c>
      <c r="G145" s="73">
        <v>2.15</v>
      </c>
      <c r="H145" s="73">
        <f t="shared" si="28"/>
        <v>53.75</v>
      </c>
      <c r="I145" s="74">
        <v>0.23</v>
      </c>
      <c r="J145" s="73">
        <f t="shared" si="29"/>
        <v>12.362500000000001</v>
      </c>
      <c r="K145" s="73">
        <f t="shared" si="30"/>
        <v>66.112499999999997</v>
      </c>
      <c r="L145" s="73">
        <f t="shared" si="31"/>
        <v>2.6444999999999999</v>
      </c>
      <c r="M145" s="75">
        <f>5+10+4+5+2</f>
        <v>26</v>
      </c>
      <c r="N145" s="76">
        <f t="shared" si="32"/>
        <v>68.756999999999991</v>
      </c>
      <c r="O145" s="75">
        <f>5+10+4+5+2</f>
        <v>26</v>
      </c>
      <c r="P145" s="76">
        <f t="shared" si="33"/>
        <v>68.756999999999991</v>
      </c>
      <c r="Q145" s="75">
        <v>26</v>
      </c>
      <c r="R145" s="32"/>
      <c r="S145" s="32">
        <f t="shared" si="34"/>
        <v>0</v>
      </c>
      <c r="T145" s="33"/>
      <c r="U145" s="35">
        <f t="shared" si="35"/>
        <v>0</v>
      </c>
      <c r="V145" s="32">
        <f t="shared" si="36"/>
        <v>0</v>
      </c>
      <c r="W145" s="32">
        <f t="shared" si="37"/>
        <v>0</v>
      </c>
    </row>
    <row r="146" spans="1:23" ht="30">
      <c r="A146" s="23">
        <v>141</v>
      </c>
      <c r="B146" s="42" t="s">
        <v>89</v>
      </c>
      <c r="C146" s="3"/>
      <c r="D146" s="15"/>
      <c r="E146" s="72" t="s">
        <v>1</v>
      </c>
      <c r="F146" s="71">
        <v>60</v>
      </c>
      <c r="G146" s="73">
        <v>2.5499999999999998</v>
      </c>
      <c r="H146" s="73">
        <f t="shared" si="28"/>
        <v>153</v>
      </c>
      <c r="I146" s="74">
        <v>0.23</v>
      </c>
      <c r="J146" s="73">
        <f t="shared" si="29"/>
        <v>35.190000000000005</v>
      </c>
      <c r="K146" s="73">
        <f t="shared" si="30"/>
        <v>188.19</v>
      </c>
      <c r="L146" s="73">
        <f t="shared" si="31"/>
        <v>3.1364999999999998</v>
      </c>
      <c r="M146" s="75">
        <f>2+10+6+6+1+6+3+1+1</f>
        <v>36</v>
      </c>
      <c r="N146" s="76">
        <f t="shared" si="32"/>
        <v>112.91399999999999</v>
      </c>
      <c r="O146" s="75">
        <f>2+10+6+6+1+6+3+1+1</f>
        <v>36</v>
      </c>
      <c r="P146" s="76">
        <f t="shared" si="33"/>
        <v>112.91399999999999</v>
      </c>
      <c r="Q146" s="75">
        <v>40</v>
      </c>
      <c r="R146" s="32"/>
      <c r="S146" s="32">
        <f t="shared" si="34"/>
        <v>0</v>
      </c>
      <c r="T146" s="33"/>
      <c r="U146" s="35">
        <f t="shared" si="35"/>
        <v>0</v>
      </c>
      <c r="V146" s="32">
        <f t="shared" si="36"/>
        <v>0</v>
      </c>
      <c r="W146" s="32">
        <f t="shared" si="37"/>
        <v>0</v>
      </c>
    </row>
    <row r="147" spans="1:23">
      <c r="A147" s="23">
        <v>142</v>
      </c>
      <c r="B147" s="42" t="s">
        <v>90</v>
      </c>
      <c r="C147" s="3"/>
      <c r="D147" s="15"/>
      <c r="E147" s="72" t="s">
        <v>1</v>
      </c>
      <c r="F147" s="71">
        <v>12</v>
      </c>
      <c r="G147" s="73">
        <v>134.9</v>
      </c>
      <c r="H147" s="73">
        <f t="shared" si="28"/>
        <v>1618.8000000000002</v>
      </c>
      <c r="I147" s="74">
        <v>0.23</v>
      </c>
      <c r="J147" s="73">
        <f t="shared" si="29"/>
        <v>372.32400000000007</v>
      </c>
      <c r="K147" s="73">
        <f t="shared" si="30"/>
        <v>1991.1240000000003</v>
      </c>
      <c r="L147" s="73">
        <f t="shared" si="31"/>
        <v>165.92700000000002</v>
      </c>
      <c r="M147" s="75">
        <f>1+2+1+2+2+3</f>
        <v>11</v>
      </c>
      <c r="N147" s="76">
        <f t="shared" si="32"/>
        <v>1825.1970000000001</v>
      </c>
      <c r="O147" s="75">
        <f>1+2+1+2+3</f>
        <v>9</v>
      </c>
      <c r="P147" s="76">
        <f t="shared" si="33"/>
        <v>1493.3430000000003</v>
      </c>
      <c r="Q147" s="75">
        <v>11</v>
      </c>
      <c r="R147" s="32"/>
      <c r="S147" s="32">
        <f t="shared" si="34"/>
        <v>0</v>
      </c>
      <c r="T147" s="33"/>
      <c r="U147" s="35">
        <f t="shared" si="35"/>
        <v>0</v>
      </c>
      <c r="V147" s="32">
        <f t="shared" si="36"/>
        <v>0</v>
      </c>
      <c r="W147" s="32">
        <f t="shared" si="37"/>
        <v>0</v>
      </c>
    </row>
    <row r="148" spans="1:23">
      <c r="A148" s="23">
        <v>143</v>
      </c>
      <c r="B148" s="42" t="s">
        <v>91</v>
      </c>
      <c r="C148" s="10"/>
      <c r="D148" s="16"/>
      <c r="E148" s="72" t="s">
        <v>1</v>
      </c>
      <c r="F148" s="71">
        <v>12</v>
      </c>
      <c r="G148" s="73">
        <v>1.55</v>
      </c>
      <c r="H148" s="73">
        <f t="shared" si="28"/>
        <v>18.600000000000001</v>
      </c>
      <c r="I148" s="74">
        <v>0.23</v>
      </c>
      <c r="J148" s="73">
        <f t="shared" si="29"/>
        <v>4.2780000000000005</v>
      </c>
      <c r="K148" s="73">
        <f t="shared" si="30"/>
        <v>22.878</v>
      </c>
      <c r="L148" s="73">
        <f t="shared" si="31"/>
        <v>1.9065000000000001</v>
      </c>
      <c r="M148" s="75">
        <f>2+1+3</f>
        <v>6</v>
      </c>
      <c r="N148" s="76">
        <f t="shared" si="32"/>
        <v>11.439</v>
      </c>
      <c r="O148" s="75">
        <f>1+3</f>
        <v>4</v>
      </c>
      <c r="P148" s="76">
        <f t="shared" si="33"/>
        <v>7.6260000000000003</v>
      </c>
      <c r="Q148" s="75">
        <v>6</v>
      </c>
      <c r="R148" s="32"/>
      <c r="S148" s="32">
        <f t="shared" si="34"/>
        <v>0</v>
      </c>
      <c r="T148" s="33"/>
      <c r="U148" s="35">
        <f t="shared" si="35"/>
        <v>0</v>
      </c>
      <c r="V148" s="32">
        <f t="shared" si="36"/>
        <v>0</v>
      </c>
      <c r="W148" s="32">
        <f t="shared" si="37"/>
        <v>0</v>
      </c>
    </row>
    <row r="149" spans="1:23" ht="30">
      <c r="A149" s="23">
        <v>144</v>
      </c>
      <c r="B149" s="42" t="s">
        <v>92</v>
      </c>
      <c r="C149" s="3"/>
      <c r="D149" s="15"/>
      <c r="E149" s="72" t="s">
        <v>1</v>
      </c>
      <c r="F149" s="71">
        <v>6</v>
      </c>
      <c r="G149" s="73">
        <v>6</v>
      </c>
      <c r="H149" s="73">
        <f t="shared" si="28"/>
        <v>36</v>
      </c>
      <c r="I149" s="74">
        <v>0.23</v>
      </c>
      <c r="J149" s="73">
        <f t="shared" si="29"/>
        <v>8.2800000000000011</v>
      </c>
      <c r="K149" s="73">
        <f t="shared" si="30"/>
        <v>44.28</v>
      </c>
      <c r="L149" s="73">
        <f t="shared" si="31"/>
        <v>7.38</v>
      </c>
      <c r="M149" s="75">
        <f>2+1+4</f>
        <v>7</v>
      </c>
      <c r="N149" s="76">
        <f t="shared" si="32"/>
        <v>51.66</v>
      </c>
      <c r="O149" s="75">
        <f>2+1+4</f>
        <v>7</v>
      </c>
      <c r="P149" s="76">
        <f t="shared" si="33"/>
        <v>51.66</v>
      </c>
      <c r="Q149" s="75">
        <v>7</v>
      </c>
      <c r="R149" s="32"/>
      <c r="S149" s="32">
        <f t="shared" si="34"/>
        <v>0</v>
      </c>
      <c r="T149" s="33"/>
      <c r="U149" s="35">
        <f t="shared" si="35"/>
        <v>0</v>
      </c>
      <c r="V149" s="32">
        <f t="shared" si="36"/>
        <v>0</v>
      </c>
      <c r="W149" s="32">
        <f t="shared" si="37"/>
        <v>0</v>
      </c>
    </row>
    <row r="150" spans="1:23" ht="60">
      <c r="A150" s="23">
        <v>145</v>
      </c>
      <c r="B150" s="42" t="s">
        <v>93</v>
      </c>
      <c r="C150" s="3"/>
      <c r="D150" s="15"/>
      <c r="E150" s="72" t="s">
        <v>1</v>
      </c>
      <c r="F150" s="71">
        <v>30</v>
      </c>
      <c r="G150" s="73">
        <v>14.2</v>
      </c>
      <c r="H150" s="73">
        <f t="shared" ref="H150:H196" si="38">F150*G150</f>
        <v>426</v>
      </c>
      <c r="I150" s="74">
        <v>0.23</v>
      </c>
      <c r="J150" s="73">
        <f t="shared" ref="J150:J196" si="39">H150*I150</f>
        <v>97.98</v>
      </c>
      <c r="K150" s="73">
        <f t="shared" ref="K150:K196" si="40">H150+J150</f>
        <v>523.98</v>
      </c>
      <c r="L150" s="73">
        <f t="shared" ref="L150:L196" si="41">G150*I150+G150</f>
        <v>17.466000000000001</v>
      </c>
      <c r="M150" s="75">
        <f>30+20+5+8+10</f>
        <v>73</v>
      </c>
      <c r="N150" s="76">
        <f t="shared" ref="N150:N196" si="42">M150*L150</f>
        <v>1275.018</v>
      </c>
      <c r="O150" s="75">
        <f>30+20+5+8+10</f>
        <v>73</v>
      </c>
      <c r="P150" s="76">
        <f t="shared" ref="P150:P196" si="43">O150*L150</f>
        <v>1275.018</v>
      </c>
      <c r="Q150" s="75">
        <v>90</v>
      </c>
      <c r="R150" s="32"/>
      <c r="S150" s="32">
        <f t="shared" ref="S150:S196" si="44">Q150*R150</f>
        <v>0</v>
      </c>
      <c r="T150" s="33"/>
      <c r="U150" s="35">
        <f t="shared" ref="U150:U196" si="45">S150*T150</f>
        <v>0</v>
      </c>
      <c r="V150" s="32">
        <f t="shared" ref="V150:V196" si="46">R150+T150</f>
        <v>0</v>
      </c>
      <c r="W150" s="32">
        <f t="shared" ref="W150:W196" si="47">S150+S150*T150</f>
        <v>0</v>
      </c>
    </row>
    <row r="151" spans="1:23" ht="30">
      <c r="A151" s="23">
        <v>146</v>
      </c>
      <c r="B151" s="42" t="s">
        <v>94</v>
      </c>
      <c r="C151" s="3"/>
      <c r="D151" s="15"/>
      <c r="E151" s="72" t="s">
        <v>1</v>
      </c>
      <c r="F151" s="71">
        <v>30</v>
      </c>
      <c r="G151" s="73">
        <v>4.1399999999999997</v>
      </c>
      <c r="H151" s="73">
        <f t="shared" si="38"/>
        <v>124.19999999999999</v>
      </c>
      <c r="I151" s="74">
        <v>0.23</v>
      </c>
      <c r="J151" s="73">
        <f t="shared" si="39"/>
        <v>28.565999999999999</v>
      </c>
      <c r="K151" s="73">
        <f t="shared" si="40"/>
        <v>152.76599999999999</v>
      </c>
      <c r="L151" s="73">
        <f t="shared" si="41"/>
        <v>5.0922000000000001</v>
      </c>
      <c r="M151" s="75">
        <f>5+8+10+4+4+5+6+5+1</f>
        <v>48</v>
      </c>
      <c r="N151" s="76">
        <f t="shared" si="42"/>
        <v>244.4256</v>
      </c>
      <c r="O151" s="75">
        <f>5+8+10+4+4+5+5+1</f>
        <v>42</v>
      </c>
      <c r="P151" s="76">
        <f t="shared" si="43"/>
        <v>213.8724</v>
      </c>
      <c r="Q151" s="75">
        <v>50</v>
      </c>
      <c r="R151" s="32"/>
      <c r="S151" s="32">
        <f t="shared" si="44"/>
        <v>0</v>
      </c>
      <c r="T151" s="33"/>
      <c r="U151" s="35">
        <f t="shared" si="45"/>
        <v>0</v>
      </c>
      <c r="V151" s="32">
        <f t="shared" si="46"/>
        <v>0</v>
      </c>
      <c r="W151" s="32">
        <f t="shared" si="47"/>
        <v>0</v>
      </c>
    </row>
    <row r="152" spans="1:23" ht="30">
      <c r="A152" s="23">
        <v>147</v>
      </c>
      <c r="B152" s="42" t="s">
        <v>95</v>
      </c>
      <c r="C152" s="3"/>
      <c r="D152" s="15"/>
      <c r="E152" s="72" t="s">
        <v>96</v>
      </c>
      <c r="F152" s="71">
        <v>10</v>
      </c>
      <c r="G152" s="73">
        <v>5.8</v>
      </c>
      <c r="H152" s="73">
        <f t="shared" si="38"/>
        <v>58</v>
      </c>
      <c r="I152" s="74">
        <v>0.23</v>
      </c>
      <c r="J152" s="73">
        <f t="shared" si="39"/>
        <v>13.34</v>
      </c>
      <c r="K152" s="73">
        <f t="shared" si="40"/>
        <v>71.34</v>
      </c>
      <c r="L152" s="73">
        <f t="shared" si="41"/>
        <v>7.1340000000000003</v>
      </c>
      <c r="M152" s="75">
        <f>5+5+2+1+1+2+4+1</f>
        <v>21</v>
      </c>
      <c r="N152" s="76">
        <f t="shared" si="42"/>
        <v>149.81400000000002</v>
      </c>
      <c r="O152" s="75">
        <f>5+5+2+1+1+2+4+1</f>
        <v>21</v>
      </c>
      <c r="P152" s="76">
        <f t="shared" si="43"/>
        <v>149.81400000000002</v>
      </c>
      <c r="Q152" s="75">
        <v>22</v>
      </c>
      <c r="R152" s="32"/>
      <c r="S152" s="32">
        <f t="shared" si="44"/>
        <v>0</v>
      </c>
      <c r="T152" s="33"/>
      <c r="U152" s="35">
        <f t="shared" si="45"/>
        <v>0</v>
      </c>
      <c r="V152" s="32">
        <f t="shared" si="46"/>
        <v>0</v>
      </c>
      <c r="W152" s="32">
        <f t="shared" si="47"/>
        <v>0</v>
      </c>
    </row>
    <row r="153" spans="1:23" ht="60">
      <c r="A153" s="23">
        <v>148</v>
      </c>
      <c r="B153" s="42" t="s">
        <v>97</v>
      </c>
      <c r="C153" s="3"/>
      <c r="D153" s="15"/>
      <c r="E153" s="72" t="s">
        <v>2</v>
      </c>
      <c r="F153" s="71">
        <v>30</v>
      </c>
      <c r="G153" s="73">
        <v>7.13</v>
      </c>
      <c r="H153" s="73">
        <f t="shared" si="38"/>
        <v>213.9</v>
      </c>
      <c r="I153" s="74">
        <v>0.23</v>
      </c>
      <c r="J153" s="73">
        <f t="shared" si="39"/>
        <v>49.197000000000003</v>
      </c>
      <c r="K153" s="73">
        <f t="shared" si="40"/>
        <v>263.09699999999998</v>
      </c>
      <c r="L153" s="73">
        <f t="shared" si="41"/>
        <v>8.7698999999999998</v>
      </c>
      <c r="M153" s="75">
        <f>1+1+5+1+1+1+1+5+2+2+2+2+1+3+2</f>
        <v>30</v>
      </c>
      <c r="N153" s="76">
        <f t="shared" si="42"/>
        <v>263.09699999999998</v>
      </c>
      <c r="O153" s="75">
        <f>1+1+5+1+1+1+1+5+2+2+2+2+1+3+2</f>
        <v>30</v>
      </c>
      <c r="P153" s="76">
        <f t="shared" si="43"/>
        <v>263.09699999999998</v>
      </c>
      <c r="Q153" s="75">
        <v>30</v>
      </c>
      <c r="R153" s="32"/>
      <c r="S153" s="32">
        <f t="shared" si="44"/>
        <v>0</v>
      </c>
      <c r="T153" s="33"/>
      <c r="U153" s="35">
        <f t="shared" si="45"/>
        <v>0</v>
      </c>
      <c r="V153" s="32">
        <f t="shared" si="46"/>
        <v>0</v>
      </c>
      <c r="W153" s="32">
        <f t="shared" si="47"/>
        <v>0</v>
      </c>
    </row>
    <row r="154" spans="1:23" ht="45">
      <c r="A154" s="23">
        <v>149</v>
      </c>
      <c r="B154" s="42" t="s">
        <v>98</v>
      </c>
      <c r="C154" s="3"/>
      <c r="D154" s="15"/>
      <c r="E154" s="72" t="s">
        <v>1</v>
      </c>
      <c r="F154" s="71">
        <v>10</v>
      </c>
      <c r="G154" s="73">
        <v>10.86</v>
      </c>
      <c r="H154" s="73">
        <f t="shared" si="38"/>
        <v>108.6</v>
      </c>
      <c r="I154" s="74">
        <v>0.23</v>
      </c>
      <c r="J154" s="73">
        <f t="shared" si="39"/>
        <v>24.978000000000002</v>
      </c>
      <c r="K154" s="73">
        <f t="shared" si="40"/>
        <v>133.578</v>
      </c>
      <c r="L154" s="73">
        <f t="shared" si="41"/>
        <v>13.357799999999999</v>
      </c>
      <c r="M154" s="75">
        <f>1+1+1+1+1</f>
        <v>5</v>
      </c>
      <c r="N154" s="76">
        <f t="shared" si="42"/>
        <v>66.789000000000001</v>
      </c>
      <c r="O154" s="75">
        <f>1+1+1+1+1</f>
        <v>5</v>
      </c>
      <c r="P154" s="76">
        <f t="shared" si="43"/>
        <v>66.789000000000001</v>
      </c>
      <c r="Q154" s="75">
        <v>5</v>
      </c>
      <c r="R154" s="32"/>
      <c r="S154" s="32">
        <f t="shared" si="44"/>
        <v>0</v>
      </c>
      <c r="T154" s="33"/>
      <c r="U154" s="35">
        <f t="shared" si="45"/>
        <v>0</v>
      </c>
      <c r="V154" s="32">
        <f t="shared" si="46"/>
        <v>0</v>
      </c>
      <c r="W154" s="32">
        <f t="shared" si="47"/>
        <v>0</v>
      </c>
    </row>
    <row r="155" spans="1:23" ht="75">
      <c r="A155" s="23">
        <v>150</v>
      </c>
      <c r="B155" s="42" t="s">
        <v>99</v>
      </c>
      <c r="C155" s="3"/>
      <c r="D155" s="15"/>
      <c r="E155" s="72" t="s">
        <v>1</v>
      </c>
      <c r="F155" s="71">
        <v>15</v>
      </c>
      <c r="G155" s="73">
        <v>3.4</v>
      </c>
      <c r="H155" s="73">
        <f t="shared" si="38"/>
        <v>51</v>
      </c>
      <c r="I155" s="74">
        <v>0.23</v>
      </c>
      <c r="J155" s="73">
        <f t="shared" si="39"/>
        <v>11.73</v>
      </c>
      <c r="K155" s="73">
        <f t="shared" si="40"/>
        <v>62.730000000000004</v>
      </c>
      <c r="L155" s="73">
        <f t="shared" si="41"/>
        <v>4.1820000000000004</v>
      </c>
      <c r="M155" s="75">
        <f>5+50+2+5</f>
        <v>62</v>
      </c>
      <c r="N155" s="76">
        <f t="shared" si="42"/>
        <v>259.28400000000005</v>
      </c>
      <c r="O155" s="75">
        <f>5+50+2+5</f>
        <v>62</v>
      </c>
      <c r="P155" s="76">
        <f t="shared" si="43"/>
        <v>259.28400000000005</v>
      </c>
      <c r="Q155" s="75">
        <v>65</v>
      </c>
      <c r="R155" s="32"/>
      <c r="S155" s="32">
        <f t="shared" si="44"/>
        <v>0</v>
      </c>
      <c r="T155" s="33"/>
      <c r="U155" s="35">
        <f t="shared" si="45"/>
        <v>0</v>
      </c>
      <c r="V155" s="32">
        <f t="shared" si="46"/>
        <v>0</v>
      </c>
      <c r="W155" s="32">
        <f t="shared" si="47"/>
        <v>0</v>
      </c>
    </row>
    <row r="156" spans="1:23" ht="60">
      <c r="A156" s="23">
        <v>151</v>
      </c>
      <c r="B156" s="42" t="s">
        <v>100</v>
      </c>
      <c r="C156" s="3"/>
      <c r="D156" s="15"/>
      <c r="E156" s="72" t="s">
        <v>1</v>
      </c>
      <c r="F156" s="71">
        <v>18</v>
      </c>
      <c r="G156" s="73">
        <v>17.45</v>
      </c>
      <c r="H156" s="73">
        <f t="shared" si="38"/>
        <v>314.09999999999997</v>
      </c>
      <c r="I156" s="74">
        <v>0.23</v>
      </c>
      <c r="J156" s="73">
        <f t="shared" si="39"/>
        <v>72.242999999999995</v>
      </c>
      <c r="K156" s="73">
        <f t="shared" si="40"/>
        <v>386.34299999999996</v>
      </c>
      <c r="L156" s="73">
        <f t="shared" si="41"/>
        <v>21.4635</v>
      </c>
      <c r="M156" s="75">
        <f>5+5+2+2+5+1</f>
        <v>20</v>
      </c>
      <c r="N156" s="76">
        <f t="shared" si="42"/>
        <v>429.27</v>
      </c>
      <c r="O156" s="75">
        <f>5+5+2+2+5+1</f>
        <v>20</v>
      </c>
      <c r="P156" s="76">
        <f t="shared" si="43"/>
        <v>429.27</v>
      </c>
      <c r="Q156" s="75">
        <v>20</v>
      </c>
      <c r="R156" s="32"/>
      <c r="S156" s="32">
        <f t="shared" si="44"/>
        <v>0</v>
      </c>
      <c r="T156" s="33"/>
      <c r="U156" s="35">
        <f t="shared" si="45"/>
        <v>0</v>
      </c>
      <c r="V156" s="32">
        <f t="shared" si="46"/>
        <v>0</v>
      </c>
      <c r="W156" s="32">
        <f t="shared" si="47"/>
        <v>0</v>
      </c>
    </row>
    <row r="157" spans="1:23" ht="30">
      <c r="A157" s="23">
        <v>152</v>
      </c>
      <c r="B157" s="42" t="s">
        <v>101</v>
      </c>
      <c r="C157" s="10"/>
      <c r="D157" s="16"/>
      <c r="E157" s="72" t="s">
        <v>1</v>
      </c>
      <c r="F157" s="71">
        <v>20</v>
      </c>
      <c r="G157" s="73">
        <v>1.27</v>
      </c>
      <c r="H157" s="73">
        <f t="shared" si="38"/>
        <v>25.4</v>
      </c>
      <c r="I157" s="74">
        <v>0.23</v>
      </c>
      <c r="J157" s="73">
        <f t="shared" si="39"/>
        <v>5.8419999999999996</v>
      </c>
      <c r="K157" s="73">
        <f t="shared" si="40"/>
        <v>31.241999999999997</v>
      </c>
      <c r="L157" s="73">
        <f t="shared" si="41"/>
        <v>1.5621</v>
      </c>
      <c r="M157" s="75">
        <f>2+2+10+5+1+2+5+3+2+2+2</f>
        <v>36</v>
      </c>
      <c r="N157" s="76">
        <f t="shared" si="42"/>
        <v>56.235600000000005</v>
      </c>
      <c r="O157" s="75">
        <f>2+2+10+5+1+2+5+3+2+2+2</f>
        <v>36</v>
      </c>
      <c r="P157" s="76">
        <f t="shared" si="43"/>
        <v>56.235600000000005</v>
      </c>
      <c r="Q157" s="75">
        <v>36</v>
      </c>
      <c r="R157" s="32"/>
      <c r="S157" s="32">
        <f t="shared" si="44"/>
        <v>0</v>
      </c>
      <c r="T157" s="33"/>
      <c r="U157" s="35">
        <f t="shared" si="45"/>
        <v>0</v>
      </c>
      <c r="V157" s="32">
        <f t="shared" si="46"/>
        <v>0</v>
      </c>
      <c r="W157" s="32">
        <f t="shared" si="47"/>
        <v>0</v>
      </c>
    </row>
    <row r="158" spans="1:23" ht="30">
      <c r="A158" s="23">
        <v>153</v>
      </c>
      <c r="B158" s="42" t="s">
        <v>102</v>
      </c>
      <c r="C158" s="3"/>
      <c r="D158" s="15"/>
      <c r="E158" s="72" t="s">
        <v>2</v>
      </c>
      <c r="F158" s="71">
        <v>50</v>
      </c>
      <c r="G158" s="73">
        <v>1.02</v>
      </c>
      <c r="H158" s="73">
        <f t="shared" si="38"/>
        <v>51</v>
      </c>
      <c r="I158" s="74">
        <v>0.23</v>
      </c>
      <c r="J158" s="73">
        <f t="shared" si="39"/>
        <v>11.73</v>
      </c>
      <c r="K158" s="73">
        <f t="shared" si="40"/>
        <v>62.730000000000004</v>
      </c>
      <c r="L158" s="73">
        <f t="shared" si="41"/>
        <v>1.2545999999999999</v>
      </c>
      <c r="M158" s="75">
        <f>5+4+10+4+6+5+2+3</f>
        <v>39</v>
      </c>
      <c r="N158" s="76">
        <f t="shared" si="42"/>
        <v>48.929400000000001</v>
      </c>
      <c r="O158" s="75">
        <f>5+4+10+4+6+5+2+3</f>
        <v>39</v>
      </c>
      <c r="P158" s="76">
        <f t="shared" si="43"/>
        <v>48.929400000000001</v>
      </c>
      <c r="Q158" s="75">
        <v>40</v>
      </c>
      <c r="R158" s="32"/>
      <c r="S158" s="32">
        <f t="shared" si="44"/>
        <v>0</v>
      </c>
      <c r="T158" s="33"/>
      <c r="U158" s="35">
        <f t="shared" si="45"/>
        <v>0</v>
      </c>
      <c r="V158" s="32">
        <f t="shared" si="46"/>
        <v>0</v>
      </c>
      <c r="W158" s="32">
        <f t="shared" si="47"/>
        <v>0</v>
      </c>
    </row>
    <row r="159" spans="1:23" ht="45">
      <c r="A159" s="23">
        <v>154</v>
      </c>
      <c r="B159" s="42" t="s">
        <v>103</v>
      </c>
      <c r="C159" s="3"/>
      <c r="D159" s="15"/>
      <c r="E159" s="72" t="s">
        <v>2</v>
      </c>
      <c r="F159" s="71">
        <v>30</v>
      </c>
      <c r="G159" s="73">
        <v>6.84</v>
      </c>
      <c r="H159" s="73">
        <f t="shared" si="38"/>
        <v>205.2</v>
      </c>
      <c r="I159" s="74">
        <v>0.23</v>
      </c>
      <c r="J159" s="73">
        <f t="shared" si="39"/>
        <v>47.195999999999998</v>
      </c>
      <c r="K159" s="73">
        <f t="shared" si="40"/>
        <v>252.39599999999999</v>
      </c>
      <c r="L159" s="73">
        <f t="shared" si="41"/>
        <v>8.4131999999999998</v>
      </c>
      <c r="M159" s="75">
        <f>10+4+4+6+2+2+1+4+5+3+5+1</f>
        <v>47</v>
      </c>
      <c r="N159" s="76">
        <f t="shared" si="42"/>
        <v>395.42039999999997</v>
      </c>
      <c r="O159" s="75">
        <f>10+4+4+6+2+2+1+4+5+3+5+1</f>
        <v>47</v>
      </c>
      <c r="P159" s="76">
        <f t="shared" si="43"/>
        <v>395.42039999999997</v>
      </c>
      <c r="Q159" s="75">
        <v>65</v>
      </c>
      <c r="R159" s="32"/>
      <c r="S159" s="32">
        <f t="shared" si="44"/>
        <v>0</v>
      </c>
      <c r="T159" s="33"/>
      <c r="U159" s="35">
        <f t="shared" si="45"/>
        <v>0</v>
      </c>
      <c r="V159" s="32">
        <f t="shared" si="46"/>
        <v>0</v>
      </c>
      <c r="W159" s="32">
        <f t="shared" si="47"/>
        <v>0</v>
      </c>
    </row>
    <row r="160" spans="1:23" ht="30">
      <c r="A160" s="23">
        <v>155</v>
      </c>
      <c r="B160" s="42" t="s">
        <v>104</v>
      </c>
      <c r="C160" s="3"/>
      <c r="D160" s="15"/>
      <c r="E160" s="72" t="s">
        <v>1</v>
      </c>
      <c r="F160" s="71">
        <v>100</v>
      </c>
      <c r="G160" s="73">
        <v>11.58</v>
      </c>
      <c r="H160" s="73">
        <f t="shared" si="38"/>
        <v>1158</v>
      </c>
      <c r="I160" s="74">
        <v>0.23</v>
      </c>
      <c r="J160" s="73">
        <f t="shared" si="39"/>
        <v>266.34000000000003</v>
      </c>
      <c r="K160" s="73">
        <f t="shared" si="40"/>
        <v>1424.3400000000001</v>
      </c>
      <c r="L160" s="73">
        <f t="shared" si="41"/>
        <v>14.243400000000001</v>
      </c>
      <c r="M160" s="75">
        <f>5+10+100+2+2+10+5+5</f>
        <v>139</v>
      </c>
      <c r="N160" s="76">
        <f t="shared" si="42"/>
        <v>1979.8326000000002</v>
      </c>
      <c r="O160" s="75">
        <f>5+10+2+100+2+10+5+5</f>
        <v>139</v>
      </c>
      <c r="P160" s="76">
        <f t="shared" si="43"/>
        <v>1979.8326000000002</v>
      </c>
      <c r="Q160" s="75">
        <v>140</v>
      </c>
      <c r="R160" s="32"/>
      <c r="S160" s="32">
        <f t="shared" si="44"/>
        <v>0</v>
      </c>
      <c r="T160" s="33"/>
      <c r="U160" s="35">
        <f t="shared" si="45"/>
        <v>0</v>
      </c>
      <c r="V160" s="32">
        <f t="shared" si="46"/>
        <v>0</v>
      </c>
      <c r="W160" s="32">
        <f t="shared" si="47"/>
        <v>0</v>
      </c>
    </row>
    <row r="161" spans="1:23" ht="30">
      <c r="A161" s="23">
        <v>156</v>
      </c>
      <c r="B161" s="42" t="s">
        <v>105</v>
      </c>
      <c r="C161" s="10"/>
      <c r="D161" s="16"/>
      <c r="E161" s="72" t="s">
        <v>1</v>
      </c>
      <c r="F161" s="71">
        <v>200</v>
      </c>
      <c r="G161" s="73">
        <v>10.11</v>
      </c>
      <c r="H161" s="73">
        <f t="shared" si="38"/>
        <v>2022</v>
      </c>
      <c r="I161" s="74">
        <v>0.23</v>
      </c>
      <c r="J161" s="73">
        <f t="shared" si="39"/>
        <v>465.06</v>
      </c>
      <c r="K161" s="73">
        <f t="shared" si="40"/>
        <v>2487.06</v>
      </c>
      <c r="L161" s="73">
        <f t="shared" si="41"/>
        <v>12.4353</v>
      </c>
      <c r="M161" s="75">
        <f>5+2+2+5+10+5</f>
        <v>29</v>
      </c>
      <c r="N161" s="76">
        <f t="shared" si="42"/>
        <v>360.62369999999999</v>
      </c>
      <c r="O161" s="75">
        <f>5+2+2+5+10+5</f>
        <v>29</v>
      </c>
      <c r="P161" s="76">
        <f t="shared" si="43"/>
        <v>360.62369999999999</v>
      </c>
      <c r="Q161" s="75">
        <v>30</v>
      </c>
      <c r="R161" s="32"/>
      <c r="S161" s="32">
        <f t="shared" si="44"/>
        <v>0</v>
      </c>
      <c r="T161" s="33"/>
      <c r="U161" s="35">
        <f t="shared" si="45"/>
        <v>0</v>
      </c>
      <c r="V161" s="32">
        <f t="shared" si="46"/>
        <v>0</v>
      </c>
      <c r="W161" s="32">
        <f t="shared" si="47"/>
        <v>0</v>
      </c>
    </row>
    <row r="162" spans="1:23" ht="60">
      <c r="A162" s="23">
        <v>157</v>
      </c>
      <c r="B162" s="42" t="s">
        <v>106</v>
      </c>
      <c r="C162" s="3"/>
      <c r="D162" s="15"/>
      <c r="E162" s="72" t="s">
        <v>1</v>
      </c>
      <c r="F162" s="71">
        <v>150</v>
      </c>
      <c r="G162" s="73">
        <v>5.25</v>
      </c>
      <c r="H162" s="73">
        <f t="shared" si="38"/>
        <v>787.5</v>
      </c>
      <c r="I162" s="74">
        <v>0.23</v>
      </c>
      <c r="J162" s="73">
        <f t="shared" si="39"/>
        <v>181.125</v>
      </c>
      <c r="K162" s="73">
        <f t="shared" si="40"/>
        <v>968.625</v>
      </c>
      <c r="L162" s="73">
        <f t="shared" si="41"/>
        <v>6.4574999999999996</v>
      </c>
      <c r="M162" s="75">
        <f>2+5+5+5+15+8+5+10+20+4+2+8+10+4+5+10+5+5+10+4</f>
        <v>142</v>
      </c>
      <c r="N162" s="76">
        <f t="shared" si="42"/>
        <v>916.96499999999992</v>
      </c>
      <c r="O162" s="75">
        <f>2+5+5+5+8+5+15+10+20+4+2+8+4+10+10+5+5+5+4</f>
        <v>132</v>
      </c>
      <c r="P162" s="76">
        <f t="shared" si="43"/>
        <v>852.39</v>
      </c>
      <c r="Q162" s="75">
        <v>150</v>
      </c>
      <c r="R162" s="32"/>
      <c r="S162" s="32">
        <f t="shared" si="44"/>
        <v>0</v>
      </c>
      <c r="T162" s="33"/>
      <c r="U162" s="35">
        <f t="shared" si="45"/>
        <v>0</v>
      </c>
      <c r="V162" s="32">
        <f t="shared" si="46"/>
        <v>0</v>
      </c>
      <c r="W162" s="32">
        <f t="shared" si="47"/>
        <v>0</v>
      </c>
    </row>
    <row r="163" spans="1:23" ht="60">
      <c r="A163" s="23">
        <v>158</v>
      </c>
      <c r="B163" s="42" t="s">
        <v>107</v>
      </c>
      <c r="C163" s="3"/>
      <c r="D163" s="15"/>
      <c r="E163" s="72" t="s">
        <v>1</v>
      </c>
      <c r="F163" s="71">
        <v>220</v>
      </c>
      <c r="G163" s="73">
        <v>5.25</v>
      </c>
      <c r="H163" s="73">
        <f t="shared" si="38"/>
        <v>1155</v>
      </c>
      <c r="I163" s="74">
        <v>0.23</v>
      </c>
      <c r="J163" s="73">
        <f t="shared" si="39"/>
        <v>265.65000000000003</v>
      </c>
      <c r="K163" s="73">
        <f t="shared" si="40"/>
        <v>1420.65</v>
      </c>
      <c r="L163" s="73">
        <f t="shared" si="41"/>
        <v>6.4574999999999996</v>
      </c>
      <c r="M163" s="75">
        <f>2+20+15+8+5+10+10+4+5+8+6+10+5+5+10+80+5+5+10+20</f>
        <v>243</v>
      </c>
      <c r="N163" s="76">
        <f t="shared" si="42"/>
        <v>1569.1724999999999</v>
      </c>
      <c r="O163" s="75">
        <f>2+20+8+5+15+10+10+5+4+10+8+6+5+10+5+5+80+5+20</f>
        <v>233</v>
      </c>
      <c r="P163" s="76">
        <f t="shared" si="43"/>
        <v>1504.5974999999999</v>
      </c>
      <c r="Q163" s="75">
        <v>250</v>
      </c>
      <c r="R163" s="32"/>
      <c r="S163" s="32">
        <f t="shared" si="44"/>
        <v>0</v>
      </c>
      <c r="T163" s="33"/>
      <c r="U163" s="35">
        <f t="shared" si="45"/>
        <v>0</v>
      </c>
      <c r="V163" s="32">
        <f t="shared" si="46"/>
        <v>0</v>
      </c>
      <c r="W163" s="32">
        <f t="shared" si="47"/>
        <v>0</v>
      </c>
    </row>
    <row r="164" spans="1:23" ht="75">
      <c r="A164" s="23">
        <v>159</v>
      </c>
      <c r="B164" s="44" t="s">
        <v>157</v>
      </c>
      <c r="C164" s="3"/>
      <c r="D164" s="15"/>
      <c r="E164" s="72" t="s">
        <v>1</v>
      </c>
      <c r="F164" s="71">
        <v>200</v>
      </c>
      <c r="G164" s="73">
        <v>10.45</v>
      </c>
      <c r="H164" s="73">
        <f t="shared" si="38"/>
        <v>2090</v>
      </c>
      <c r="I164" s="74">
        <v>0.23</v>
      </c>
      <c r="J164" s="73">
        <f t="shared" si="39"/>
        <v>480.70000000000005</v>
      </c>
      <c r="K164" s="73">
        <f t="shared" si="40"/>
        <v>2570.6999999999998</v>
      </c>
      <c r="L164" s="73">
        <f t="shared" si="41"/>
        <v>12.853499999999999</v>
      </c>
      <c r="M164" s="75">
        <f>5+20+3+10+20+8+5+10+15+5+5+10+5+5+5+5+25+10+20</f>
        <v>191</v>
      </c>
      <c r="N164" s="76">
        <f t="shared" si="42"/>
        <v>2455.0184999999997</v>
      </c>
      <c r="O164" s="75">
        <f>20+5+3+10+20+5+8+10+15+5+5+5+10+5+5+5+10+25</f>
        <v>171</v>
      </c>
      <c r="P164" s="76">
        <f t="shared" si="43"/>
        <v>2197.9485</v>
      </c>
      <c r="Q164" s="75">
        <v>200</v>
      </c>
      <c r="R164" s="32"/>
      <c r="S164" s="32">
        <f t="shared" si="44"/>
        <v>0</v>
      </c>
      <c r="T164" s="33"/>
      <c r="U164" s="35">
        <f t="shared" si="45"/>
        <v>0</v>
      </c>
      <c r="V164" s="32">
        <f t="shared" si="46"/>
        <v>0</v>
      </c>
      <c r="W164" s="32">
        <f t="shared" si="47"/>
        <v>0</v>
      </c>
    </row>
    <row r="165" spans="1:23" ht="45">
      <c r="A165" s="23">
        <v>160</v>
      </c>
      <c r="B165" s="42" t="s">
        <v>108</v>
      </c>
      <c r="C165" s="3"/>
      <c r="D165" s="15"/>
      <c r="E165" s="72" t="s">
        <v>1</v>
      </c>
      <c r="F165" s="71">
        <v>650</v>
      </c>
      <c r="G165" s="73">
        <v>0.43</v>
      </c>
      <c r="H165" s="73">
        <f t="shared" si="38"/>
        <v>279.5</v>
      </c>
      <c r="I165" s="74">
        <v>0.23</v>
      </c>
      <c r="J165" s="73">
        <f t="shared" si="39"/>
        <v>64.284999999999997</v>
      </c>
      <c r="K165" s="73">
        <f t="shared" si="40"/>
        <v>343.78499999999997</v>
      </c>
      <c r="L165" s="73">
        <f t="shared" si="41"/>
        <v>0.52890000000000004</v>
      </c>
      <c r="M165" s="75">
        <f>20+20+10+200+30+5+30+60+100+20+10+3</f>
        <v>508</v>
      </c>
      <c r="N165" s="76">
        <f t="shared" si="42"/>
        <v>268.68120000000005</v>
      </c>
      <c r="O165" s="75">
        <f>20+10+20+200+30+5+30+60+100+20+3+10</f>
        <v>508</v>
      </c>
      <c r="P165" s="76">
        <f t="shared" si="43"/>
        <v>268.68120000000005</v>
      </c>
      <c r="Q165" s="75">
        <v>700</v>
      </c>
      <c r="R165" s="32"/>
      <c r="S165" s="32">
        <f t="shared" si="44"/>
        <v>0</v>
      </c>
      <c r="T165" s="33"/>
      <c r="U165" s="35">
        <f t="shared" si="45"/>
        <v>0</v>
      </c>
      <c r="V165" s="32">
        <f t="shared" si="46"/>
        <v>0</v>
      </c>
      <c r="W165" s="32">
        <f t="shared" si="47"/>
        <v>0</v>
      </c>
    </row>
    <row r="166" spans="1:23" ht="30">
      <c r="A166" s="23">
        <v>161</v>
      </c>
      <c r="B166" s="42" t="s">
        <v>109</v>
      </c>
      <c r="C166" s="3"/>
      <c r="D166" s="15"/>
      <c r="E166" s="72" t="s">
        <v>2</v>
      </c>
      <c r="F166" s="71">
        <v>60</v>
      </c>
      <c r="G166" s="73">
        <v>3.04</v>
      </c>
      <c r="H166" s="73">
        <f t="shared" si="38"/>
        <v>182.4</v>
      </c>
      <c r="I166" s="74">
        <v>0.23</v>
      </c>
      <c r="J166" s="73">
        <f t="shared" si="39"/>
        <v>41.952000000000005</v>
      </c>
      <c r="K166" s="73">
        <f t="shared" si="40"/>
        <v>224.352</v>
      </c>
      <c r="L166" s="73">
        <f t="shared" si="41"/>
        <v>3.7392000000000003</v>
      </c>
      <c r="M166" s="75">
        <f>5+5+10+2+4+2+10+10+2+3+1+5</f>
        <v>59</v>
      </c>
      <c r="N166" s="76">
        <f t="shared" si="42"/>
        <v>220.61280000000002</v>
      </c>
      <c r="O166" s="75">
        <f>5+10+5+2+4+2+10+2+3+10+1+5</f>
        <v>59</v>
      </c>
      <c r="P166" s="76">
        <f t="shared" si="43"/>
        <v>220.61280000000002</v>
      </c>
      <c r="Q166" s="75">
        <v>60</v>
      </c>
      <c r="R166" s="32"/>
      <c r="S166" s="32">
        <f t="shared" si="44"/>
        <v>0</v>
      </c>
      <c r="T166" s="33"/>
      <c r="U166" s="35">
        <f t="shared" si="45"/>
        <v>0</v>
      </c>
      <c r="V166" s="32">
        <f t="shared" si="46"/>
        <v>0</v>
      </c>
      <c r="W166" s="32">
        <f t="shared" si="47"/>
        <v>0</v>
      </c>
    </row>
    <row r="167" spans="1:23" ht="30">
      <c r="A167" s="23">
        <v>162</v>
      </c>
      <c r="B167" s="42" t="s">
        <v>110</v>
      </c>
      <c r="C167" s="3"/>
      <c r="D167" s="15"/>
      <c r="E167" s="72" t="s">
        <v>2</v>
      </c>
      <c r="F167" s="71">
        <v>65</v>
      </c>
      <c r="G167" s="73">
        <v>0.4</v>
      </c>
      <c r="H167" s="73">
        <f t="shared" si="38"/>
        <v>26</v>
      </c>
      <c r="I167" s="74">
        <v>0.23</v>
      </c>
      <c r="J167" s="73">
        <f t="shared" si="39"/>
        <v>5.98</v>
      </c>
      <c r="K167" s="73">
        <f t="shared" si="40"/>
        <v>31.98</v>
      </c>
      <c r="L167" s="73">
        <f t="shared" si="41"/>
        <v>0.49200000000000005</v>
      </c>
      <c r="M167" s="75">
        <f>30+2+15+4+10+4+5+10+2+2+1+5+5+5</f>
        <v>100</v>
      </c>
      <c r="N167" s="76">
        <f t="shared" si="42"/>
        <v>49.2</v>
      </c>
      <c r="O167" s="75">
        <f>30+2+15+4+10+5+2+4+2+10+1+5+5+5</f>
        <v>100</v>
      </c>
      <c r="P167" s="76">
        <f t="shared" si="43"/>
        <v>49.2</v>
      </c>
      <c r="Q167" s="75">
        <v>125</v>
      </c>
      <c r="R167" s="32"/>
      <c r="S167" s="32">
        <f t="shared" si="44"/>
        <v>0</v>
      </c>
      <c r="T167" s="33"/>
      <c r="U167" s="35">
        <f t="shared" si="45"/>
        <v>0</v>
      </c>
      <c r="V167" s="32">
        <f t="shared" si="46"/>
        <v>0</v>
      </c>
      <c r="W167" s="32">
        <f t="shared" si="47"/>
        <v>0</v>
      </c>
    </row>
    <row r="168" spans="1:23" ht="30">
      <c r="A168" s="23">
        <v>163</v>
      </c>
      <c r="B168" s="42" t="s">
        <v>111</v>
      </c>
      <c r="C168" s="3"/>
      <c r="D168" s="15"/>
      <c r="E168" s="72" t="s">
        <v>2</v>
      </c>
      <c r="F168" s="71">
        <v>15</v>
      </c>
      <c r="G168" s="73">
        <v>1.2</v>
      </c>
      <c r="H168" s="73">
        <f t="shared" si="38"/>
        <v>18</v>
      </c>
      <c r="I168" s="74">
        <v>0.23</v>
      </c>
      <c r="J168" s="73">
        <f t="shared" si="39"/>
        <v>4.1400000000000006</v>
      </c>
      <c r="K168" s="73">
        <f t="shared" si="40"/>
        <v>22.14</v>
      </c>
      <c r="L168" s="73">
        <f t="shared" si="41"/>
        <v>1.476</v>
      </c>
      <c r="M168" s="75">
        <f>5+10+1+2+2+3+3</f>
        <v>26</v>
      </c>
      <c r="N168" s="76">
        <f t="shared" si="42"/>
        <v>38.375999999999998</v>
      </c>
      <c r="O168" s="75">
        <f>5+1+2+10+2+3+3</f>
        <v>26</v>
      </c>
      <c r="P168" s="76">
        <f t="shared" si="43"/>
        <v>38.375999999999998</v>
      </c>
      <c r="Q168" s="75">
        <v>25</v>
      </c>
      <c r="R168" s="32"/>
      <c r="S168" s="32">
        <f t="shared" si="44"/>
        <v>0</v>
      </c>
      <c r="T168" s="33"/>
      <c r="U168" s="35">
        <f t="shared" si="45"/>
        <v>0</v>
      </c>
      <c r="V168" s="32">
        <f t="shared" si="46"/>
        <v>0</v>
      </c>
      <c r="W168" s="32">
        <f t="shared" si="47"/>
        <v>0</v>
      </c>
    </row>
    <row r="169" spans="1:23" ht="45">
      <c r="A169" s="23">
        <v>164</v>
      </c>
      <c r="B169" s="42" t="s">
        <v>112</v>
      </c>
      <c r="C169" s="3"/>
      <c r="D169" s="15"/>
      <c r="E169" s="72" t="s">
        <v>1</v>
      </c>
      <c r="F169" s="71">
        <v>30</v>
      </c>
      <c r="G169" s="73">
        <v>7.58</v>
      </c>
      <c r="H169" s="73">
        <f t="shared" si="38"/>
        <v>227.4</v>
      </c>
      <c r="I169" s="74">
        <v>0.23</v>
      </c>
      <c r="J169" s="73">
        <f t="shared" si="39"/>
        <v>52.302000000000007</v>
      </c>
      <c r="K169" s="73">
        <f t="shared" si="40"/>
        <v>279.702</v>
      </c>
      <c r="L169" s="73">
        <f t="shared" si="41"/>
        <v>9.3233999999999995</v>
      </c>
      <c r="M169" s="75">
        <f>2+3+8+4+2+4+3+1+3+1+1+2+2+1+4</f>
        <v>41</v>
      </c>
      <c r="N169" s="76">
        <f t="shared" si="42"/>
        <v>382.25939999999997</v>
      </c>
      <c r="O169" s="75">
        <f>2+8+3+4+2+4+3+1+3+1+1+2+1+2+4</f>
        <v>41</v>
      </c>
      <c r="P169" s="76">
        <f t="shared" si="43"/>
        <v>382.25939999999997</v>
      </c>
      <c r="Q169" s="75">
        <v>40</v>
      </c>
      <c r="R169" s="32"/>
      <c r="S169" s="32">
        <f t="shared" si="44"/>
        <v>0</v>
      </c>
      <c r="T169" s="33"/>
      <c r="U169" s="35">
        <f t="shared" si="45"/>
        <v>0</v>
      </c>
      <c r="V169" s="32">
        <f t="shared" si="46"/>
        <v>0</v>
      </c>
      <c r="W169" s="32">
        <f t="shared" si="47"/>
        <v>0</v>
      </c>
    </row>
    <row r="170" spans="1:23">
      <c r="A170" s="23">
        <v>165</v>
      </c>
      <c r="B170" s="42" t="s">
        <v>113</v>
      </c>
      <c r="C170" s="3"/>
      <c r="D170" s="15"/>
      <c r="E170" s="72" t="s">
        <v>1</v>
      </c>
      <c r="F170" s="71">
        <v>35</v>
      </c>
      <c r="G170" s="73">
        <v>1.05</v>
      </c>
      <c r="H170" s="73">
        <f t="shared" si="38"/>
        <v>36.75</v>
      </c>
      <c r="I170" s="74">
        <v>0.23</v>
      </c>
      <c r="J170" s="73">
        <f t="shared" si="39"/>
        <v>8.4525000000000006</v>
      </c>
      <c r="K170" s="73">
        <f t="shared" si="40"/>
        <v>45.202500000000001</v>
      </c>
      <c r="L170" s="73">
        <f t="shared" si="41"/>
        <v>1.2915000000000001</v>
      </c>
      <c r="M170" s="75">
        <f>1+5+3+1+3+5+2+1+6+5</f>
        <v>32</v>
      </c>
      <c r="N170" s="76">
        <f t="shared" si="42"/>
        <v>41.328000000000003</v>
      </c>
      <c r="O170" s="75">
        <f>1+3+5+1+3+5+6+1+2+5</f>
        <v>32</v>
      </c>
      <c r="P170" s="76">
        <f t="shared" si="43"/>
        <v>41.328000000000003</v>
      </c>
      <c r="Q170" s="75">
        <v>35</v>
      </c>
      <c r="R170" s="32"/>
      <c r="S170" s="32">
        <f t="shared" si="44"/>
        <v>0</v>
      </c>
      <c r="T170" s="33"/>
      <c r="U170" s="35">
        <f t="shared" si="45"/>
        <v>0</v>
      </c>
      <c r="V170" s="32">
        <f t="shared" si="46"/>
        <v>0</v>
      </c>
      <c r="W170" s="32">
        <f t="shared" si="47"/>
        <v>0</v>
      </c>
    </row>
    <row r="171" spans="1:23">
      <c r="A171" s="23">
        <v>166</v>
      </c>
      <c r="B171" s="42" t="s">
        <v>114</v>
      </c>
      <c r="C171" s="3"/>
      <c r="D171" s="15"/>
      <c r="E171" s="72" t="s">
        <v>1</v>
      </c>
      <c r="F171" s="71">
        <v>35</v>
      </c>
      <c r="G171" s="73">
        <v>4.4000000000000004</v>
      </c>
      <c r="H171" s="73">
        <f t="shared" si="38"/>
        <v>154</v>
      </c>
      <c r="I171" s="74">
        <v>0.23</v>
      </c>
      <c r="J171" s="73">
        <f t="shared" si="39"/>
        <v>35.42</v>
      </c>
      <c r="K171" s="73">
        <f t="shared" si="40"/>
        <v>189.42000000000002</v>
      </c>
      <c r="L171" s="73">
        <f t="shared" si="41"/>
        <v>5.4120000000000008</v>
      </c>
      <c r="M171" s="75">
        <f>5+5+3+1+5+2+2+6+3+1</f>
        <v>33</v>
      </c>
      <c r="N171" s="76">
        <f t="shared" si="42"/>
        <v>178.59600000000003</v>
      </c>
      <c r="O171" s="75">
        <f>5+3+5+1+5+6+2+2+3+1</f>
        <v>33</v>
      </c>
      <c r="P171" s="76">
        <f t="shared" si="43"/>
        <v>178.59600000000003</v>
      </c>
      <c r="Q171" s="75">
        <v>35</v>
      </c>
      <c r="R171" s="32"/>
      <c r="S171" s="32">
        <f t="shared" si="44"/>
        <v>0</v>
      </c>
      <c r="T171" s="33"/>
      <c r="U171" s="35">
        <f t="shared" si="45"/>
        <v>0</v>
      </c>
      <c r="V171" s="32">
        <f t="shared" si="46"/>
        <v>0</v>
      </c>
      <c r="W171" s="32">
        <f t="shared" si="47"/>
        <v>0</v>
      </c>
    </row>
    <row r="172" spans="1:23" ht="45">
      <c r="A172" s="23">
        <v>167</v>
      </c>
      <c r="B172" s="42" t="s">
        <v>115</v>
      </c>
      <c r="C172" s="3"/>
      <c r="D172" s="15"/>
      <c r="E172" s="72" t="s">
        <v>1</v>
      </c>
      <c r="F172" s="71">
        <v>60</v>
      </c>
      <c r="G172" s="73">
        <v>0.94</v>
      </c>
      <c r="H172" s="73">
        <f t="shared" si="38"/>
        <v>56.4</v>
      </c>
      <c r="I172" s="74">
        <v>0.23</v>
      </c>
      <c r="J172" s="73">
        <f t="shared" si="39"/>
        <v>12.972</v>
      </c>
      <c r="K172" s="73">
        <f t="shared" si="40"/>
        <v>69.372</v>
      </c>
      <c r="L172" s="73">
        <f t="shared" si="41"/>
        <v>1.1561999999999999</v>
      </c>
      <c r="M172" s="75">
        <f>10+5+10+5+2+5+4+5+10+5+10+6+5+5+2+10+5+2+6</f>
        <v>112</v>
      </c>
      <c r="N172" s="76">
        <f t="shared" si="42"/>
        <v>129.49439999999998</v>
      </c>
      <c r="O172" s="75">
        <f>10+5+10+5+2+5+4+10+6+10+5+5+2+10+5+2+6</f>
        <v>102</v>
      </c>
      <c r="P172" s="76">
        <f t="shared" si="43"/>
        <v>117.93239999999999</v>
      </c>
      <c r="Q172" s="75">
        <v>112</v>
      </c>
      <c r="R172" s="32"/>
      <c r="S172" s="32">
        <f t="shared" si="44"/>
        <v>0</v>
      </c>
      <c r="T172" s="33"/>
      <c r="U172" s="35">
        <f t="shared" si="45"/>
        <v>0</v>
      </c>
      <c r="V172" s="32">
        <f t="shared" si="46"/>
        <v>0</v>
      </c>
      <c r="W172" s="32">
        <f t="shared" si="47"/>
        <v>0</v>
      </c>
    </row>
    <row r="173" spans="1:23">
      <c r="A173" s="23">
        <v>168</v>
      </c>
      <c r="B173" s="42" t="s">
        <v>116</v>
      </c>
      <c r="C173" s="3"/>
      <c r="D173" s="15"/>
      <c r="E173" s="72" t="s">
        <v>1</v>
      </c>
      <c r="F173" s="71">
        <v>50</v>
      </c>
      <c r="G173" s="73">
        <v>2.7</v>
      </c>
      <c r="H173" s="73">
        <f t="shared" si="38"/>
        <v>135</v>
      </c>
      <c r="I173" s="74">
        <v>0.23</v>
      </c>
      <c r="J173" s="73">
        <f t="shared" si="39"/>
        <v>31.05</v>
      </c>
      <c r="K173" s="73">
        <f t="shared" si="40"/>
        <v>166.05</v>
      </c>
      <c r="L173" s="73">
        <f t="shared" si="41"/>
        <v>3.3210000000000002</v>
      </c>
      <c r="M173" s="75">
        <f>2+3+10+2+2+1+3+4+3+1+10+2+6+3+2+2+8+3+3+3+3</f>
        <v>76</v>
      </c>
      <c r="N173" s="76">
        <f t="shared" si="42"/>
        <v>252.39600000000002</v>
      </c>
      <c r="O173" s="75">
        <f>2+3+10+2+2+3+1+4+3+1+10+6+2+3+2+2+3+8+3+3</f>
        <v>73</v>
      </c>
      <c r="P173" s="76">
        <f t="shared" si="43"/>
        <v>242.43300000000002</v>
      </c>
      <c r="Q173" s="75">
        <v>76</v>
      </c>
      <c r="R173" s="32"/>
      <c r="S173" s="32">
        <f t="shared" si="44"/>
        <v>0</v>
      </c>
      <c r="T173" s="33"/>
      <c r="U173" s="35">
        <f t="shared" si="45"/>
        <v>0</v>
      </c>
      <c r="V173" s="32">
        <f t="shared" si="46"/>
        <v>0</v>
      </c>
      <c r="W173" s="32">
        <f t="shared" si="47"/>
        <v>0</v>
      </c>
    </row>
    <row r="174" spans="1:23">
      <c r="A174" s="23">
        <v>169</v>
      </c>
      <c r="B174" s="42" t="s">
        <v>117</v>
      </c>
      <c r="C174" s="3"/>
      <c r="D174" s="15"/>
      <c r="E174" s="72" t="s">
        <v>1</v>
      </c>
      <c r="F174" s="71">
        <v>60</v>
      </c>
      <c r="G174" s="73">
        <v>3.53</v>
      </c>
      <c r="H174" s="73">
        <f t="shared" si="38"/>
        <v>211.79999999999998</v>
      </c>
      <c r="I174" s="74">
        <v>0.23</v>
      </c>
      <c r="J174" s="73">
        <f t="shared" si="39"/>
        <v>48.713999999999999</v>
      </c>
      <c r="K174" s="73">
        <f t="shared" si="40"/>
        <v>260.51400000000001</v>
      </c>
      <c r="L174" s="73">
        <f t="shared" si="41"/>
        <v>4.3418999999999999</v>
      </c>
      <c r="M174" s="75">
        <f>3+10+4+2+3+2+1+3+2+1+2+4+4+3+1+1+1+10+1+2+2+3+5+2+2+5+5+3+3+3</f>
        <v>93</v>
      </c>
      <c r="N174" s="76">
        <f t="shared" si="42"/>
        <v>403.79669999999999</v>
      </c>
      <c r="O174" s="75">
        <f>4+3+10+3+2+2+3+2+1+4+2+1+4+1+3+1+1+10+1+2+2+3+2+2+5+5+3+5+3+3</f>
        <v>93</v>
      </c>
      <c r="P174" s="76">
        <f t="shared" si="43"/>
        <v>403.79669999999999</v>
      </c>
      <c r="Q174" s="75">
        <v>93</v>
      </c>
      <c r="R174" s="32"/>
      <c r="S174" s="32">
        <f t="shared" si="44"/>
        <v>0</v>
      </c>
      <c r="T174" s="33"/>
      <c r="U174" s="35">
        <f t="shared" si="45"/>
        <v>0</v>
      </c>
      <c r="V174" s="32">
        <f t="shared" si="46"/>
        <v>0</v>
      </c>
      <c r="W174" s="32">
        <f t="shared" si="47"/>
        <v>0</v>
      </c>
    </row>
    <row r="175" spans="1:23" ht="30">
      <c r="A175" s="23">
        <v>170</v>
      </c>
      <c r="B175" s="42" t="s">
        <v>118</v>
      </c>
      <c r="C175" s="10"/>
      <c r="D175" s="16"/>
      <c r="E175" s="72" t="s">
        <v>1</v>
      </c>
      <c r="F175" s="71">
        <v>190</v>
      </c>
      <c r="G175" s="73">
        <v>3.59</v>
      </c>
      <c r="H175" s="73">
        <f t="shared" si="38"/>
        <v>682.1</v>
      </c>
      <c r="I175" s="74">
        <v>0.23</v>
      </c>
      <c r="J175" s="73">
        <f t="shared" si="39"/>
        <v>156.88300000000001</v>
      </c>
      <c r="K175" s="73">
        <f t="shared" si="40"/>
        <v>838.98300000000006</v>
      </c>
      <c r="L175" s="73">
        <f t="shared" si="41"/>
        <v>4.4157000000000002</v>
      </c>
      <c r="M175" s="75">
        <f>15+4+4+5+2+3+2+18+4+2+5+3+1+2+4+3+3+2+5+30+1+6+4+5+2+2+3+2+10+6+5+2+3+2+2+5+30</f>
        <v>207</v>
      </c>
      <c r="N175" s="76">
        <f t="shared" si="42"/>
        <v>914.04990000000009</v>
      </c>
      <c r="O175" s="75">
        <f>4+15+4+2+5+3+2+18+2+4+5+3+2+1+4+2+3+3+30+1+2+6+4+2+3+2+10+6+5+2+3+2+2+5+30</f>
        <v>197</v>
      </c>
      <c r="P175" s="76">
        <f t="shared" si="43"/>
        <v>869.89290000000005</v>
      </c>
      <c r="Q175" s="75">
        <v>210</v>
      </c>
      <c r="R175" s="32"/>
      <c r="S175" s="32">
        <f t="shared" si="44"/>
        <v>0</v>
      </c>
      <c r="T175" s="33"/>
      <c r="U175" s="35">
        <f t="shared" si="45"/>
        <v>0</v>
      </c>
      <c r="V175" s="32">
        <f t="shared" si="46"/>
        <v>0</v>
      </c>
      <c r="W175" s="32">
        <f t="shared" si="47"/>
        <v>0</v>
      </c>
    </row>
    <row r="176" spans="1:23" ht="30">
      <c r="A176" s="23">
        <v>171</v>
      </c>
      <c r="B176" s="42" t="s">
        <v>119</v>
      </c>
      <c r="C176" s="3"/>
      <c r="D176" s="15"/>
      <c r="E176" s="72" t="s">
        <v>1</v>
      </c>
      <c r="F176" s="71">
        <v>130</v>
      </c>
      <c r="G176" s="73">
        <v>1.3</v>
      </c>
      <c r="H176" s="73">
        <f t="shared" si="38"/>
        <v>169</v>
      </c>
      <c r="I176" s="74">
        <v>0.23</v>
      </c>
      <c r="J176" s="73">
        <f t="shared" si="39"/>
        <v>38.870000000000005</v>
      </c>
      <c r="K176" s="73">
        <f t="shared" si="40"/>
        <v>207.87</v>
      </c>
      <c r="L176" s="73">
        <f t="shared" si="41"/>
        <v>1.5990000000000002</v>
      </c>
      <c r="M176" s="75">
        <f>2+10+4+5+3+1+2+3+2+6+1+4+3+3+3+3+2+5+2+30+2+4+5+10+3+2+3+5+1+1+10+6+5+1+3+2+5+10+1</f>
        <v>173</v>
      </c>
      <c r="N176" s="76">
        <f t="shared" si="42"/>
        <v>276.62700000000001</v>
      </c>
      <c r="O176" s="75">
        <f>2+10+4+3+5+2+1+3+2+6+1+3+4+3+2+3+3+2+30+3+2+4+2+10+3+1+1+10+6+5+5+1+3+2+10+1</f>
        <v>158</v>
      </c>
      <c r="P176" s="76">
        <f t="shared" si="43"/>
        <v>252.64200000000002</v>
      </c>
      <c r="Q176" s="75">
        <v>175</v>
      </c>
      <c r="R176" s="32"/>
      <c r="S176" s="32">
        <f t="shared" si="44"/>
        <v>0</v>
      </c>
      <c r="T176" s="33"/>
      <c r="U176" s="35">
        <f t="shared" si="45"/>
        <v>0</v>
      </c>
      <c r="V176" s="32">
        <f t="shared" si="46"/>
        <v>0</v>
      </c>
      <c r="W176" s="32">
        <f t="shared" si="47"/>
        <v>0</v>
      </c>
    </row>
    <row r="177" spans="1:23" ht="30">
      <c r="A177" s="23">
        <v>172</v>
      </c>
      <c r="B177" s="42" t="s">
        <v>120</v>
      </c>
      <c r="C177" s="3"/>
      <c r="D177" s="15"/>
      <c r="E177" s="72" t="s">
        <v>1</v>
      </c>
      <c r="F177" s="71">
        <v>40</v>
      </c>
      <c r="G177" s="73">
        <v>2.44</v>
      </c>
      <c r="H177" s="73">
        <f t="shared" si="38"/>
        <v>97.6</v>
      </c>
      <c r="I177" s="74">
        <v>0.23</v>
      </c>
      <c r="J177" s="73">
        <f t="shared" si="39"/>
        <v>22.448</v>
      </c>
      <c r="K177" s="73">
        <f t="shared" si="40"/>
        <v>120.048</v>
      </c>
      <c r="L177" s="73">
        <f t="shared" si="41"/>
        <v>3.0011999999999999</v>
      </c>
      <c r="M177" s="75">
        <f>3+10+2+2+5+2+2+2+1+1+5+2+8+2+2+2+1</f>
        <v>52</v>
      </c>
      <c r="N177" s="76">
        <f t="shared" si="42"/>
        <v>156.0624</v>
      </c>
      <c r="O177" s="75">
        <f>3+10+2+2+5+2+2+2+1+1+5+2+8+2+2+2+1</f>
        <v>52</v>
      </c>
      <c r="P177" s="76">
        <f t="shared" si="43"/>
        <v>156.0624</v>
      </c>
      <c r="Q177" s="75">
        <v>52</v>
      </c>
      <c r="R177" s="32"/>
      <c r="S177" s="32">
        <f t="shared" si="44"/>
        <v>0</v>
      </c>
      <c r="T177" s="33"/>
      <c r="U177" s="35">
        <f t="shared" si="45"/>
        <v>0</v>
      </c>
      <c r="V177" s="32">
        <f t="shared" si="46"/>
        <v>0</v>
      </c>
      <c r="W177" s="32">
        <f t="shared" si="47"/>
        <v>0</v>
      </c>
    </row>
    <row r="178" spans="1:23" ht="30">
      <c r="A178" s="23">
        <v>173</v>
      </c>
      <c r="B178" s="42" t="s">
        <v>121</v>
      </c>
      <c r="C178" s="3"/>
      <c r="D178" s="15"/>
      <c r="E178" s="72" t="s">
        <v>1</v>
      </c>
      <c r="F178" s="71">
        <v>120</v>
      </c>
      <c r="G178" s="73">
        <v>2.13</v>
      </c>
      <c r="H178" s="73">
        <f t="shared" si="38"/>
        <v>255.6</v>
      </c>
      <c r="I178" s="74">
        <v>0.23</v>
      </c>
      <c r="J178" s="73">
        <f t="shared" si="39"/>
        <v>58.788000000000004</v>
      </c>
      <c r="K178" s="73">
        <f t="shared" si="40"/>
        <v>314.38799999999998</v>
      </c>
      <c r="L178" s="73">
        <f t="shared" si="41"/>
        <v>2.6198999999999999</v>
      </c>
      <c r="M178" s="75">
        <f>5+2+2+2+10+5+3+2+5+3+5+2+5+5+4</f>
        <v>60</v>
      </c>
      <c r="N178" s="76">
        <f t="shared" si="42"/>
        <v>157.19399999999999</v>
      </c>
      <c r="O178" s="75">
        <f>5+2+2+2+10+5+3+2+5+5+2+5+5+4</f>
        <v>57</v>
      </c>
      <c r="P178" s="76">
        <f t="shared" si="43"/>
        <v>149.33429999999998</v>
      </c>
      <c r="Q178" s="75">
        <v>60</v>
      </c>
      <c r="R178" s="32"/>
      <c r="S178" s="32">
        <f t="shared" si="44"/>
        <v>0</v>
      </c>
      <c r="T178" s="33"/>
      <c r="U178" s="35">
        <f t="shared" si="45"/>
        <v>0</v>
      </c>
      <c r="V178" s="32">
        <f t="shared" si="46"/>
        <v>0</v>
      </c>
      <c r="W178" s="32">
        <f t="shared" si="47"/>
        <v>0</v>
      </c>
    </row>
    <row r="179" spans="1:23" ht="45">
      <c r="A179" s="23">
        <v>174</v>
      </c>
      <c r="B179" s="42" t="s">
        <v>122</v>
      </c>
      <c r="C179" s="3"/>
      <c r="D179" s="15"/>
      <c r="E179" s="72" t="s">
        <v>1</v>
      </c>
      <c r="F179" s="71">
        <v>90</v>
      </c>
      <c r="G179" s="73">
        <v>9.58</v>
      </c>
      <c r="H179" s="73">
        <f t="shared" si="38"/>
        <v>862.2</v>
      </c>
      <c r="I179" s="74">
        <v>0.23</v>
      </c>
      <c r="J179" s="73">
        <f t="shared" si="39"/>
        <v>198.30600000000001</v>
      </c>
      <c r="K179" s="73">
        <f t="shared" si="40"/>
        <v>1060.5060000000001</v>
      </c>
      <c r="L179" s="73">
        <f t="shared" si="41"/>
        <v>11.7834</v>
      </c>
      <c r="M179" s="75">
        <f>5+3+2+3+2+1+10+8+2+3+5+10+5+2+3</f>
        <v>64</v>
      </c>
      <c r="N179" s="76">
        <f t="shared" si="42"/>
        <v>754.13760000000002</v>
      </c>
      <c r="O179" s="75">
        <f>5+3+2+3+2+1+10+2+3+8+5+10+5+2+3</f>
        <v>64</v>
      </c>
      <c r="P179" s="76">
        <f t="shared" si="43"/>
        <v>754.13760000000002</v>
      </c>
      <c r="Q179" s="75">
        <v>65</v>
      </c>
      <c r="R179" s="32"/>
      <c r="S179" s="32">
        <f t="shared" si="44"/>
        <v>0</v>
      </c>
      <c r="T179" s="33"/>
      <c r="U179" s="35">
        <f t="shared" si="45"/>
        <v>0</v>
      </c>
      <c r="V179" s="32">
        <f t="shared" si="46"/>
        <v>0</v>
      </c>
      <c r="W179" s="32">
        <f t="shared" si="47"/>
        <v>0</v>
      </c>
    </row>
    <row r="180" spans="1:23" ht="45">
      <c r="A180" s="23">
        <v>175</v>
      </c>
      <c r="B180" s="42" t="s">
        <v>123</v>
      </c>
      <c r="C180" s="3"/>
      <c r="D180" s="15"/>
      <c r="E180" s="72" t="s">
        <v>1</v>
      </c>
      <c r="F180" s="71">
        <v>65</v>
      </c>
      <c r="G180" s="73">
        <v>3.16</v>
      </c>
      <c r="H180" s="73">
        <f t="shared" si="38"/>
        <v>205.4</v>
      </c>
      <c r="I180" s="74">
        <v>0.23</v>
      </c>
      <c r="J180" s="73">
        <f t="shared" si="39"/>
        <v>47.242000000000004</v>
      </c>
      <c r="K180" s="73">
        <f t="shared" si="40"/>
        <v>252.642</v>
      </c>
      <c r="L180" s="73">
        <f t="shared" si="41"/>
        <v>3.8868</v>
      </c>
      <c r="M180" s="75">
        <f>5+5+4+2+2+10+3</f>
        <v>31</v>
      </c>
      <c r="N180" s="76">
        <f t="shared" si="42"/>
        <v>120.49080000000001</v>
      </c>
      <c r="O180" s="75">
        <f>5+5+4+2+2+10+3</f>
        <v>31</v>
      </c>
      <c r="P180" s="76">
        <f t="shared" si="43"/>
        <v>120.49080000000001</v>
      </c>
      <c r="Q180" s="75">
        <v>45</v>
      </c>
      <c r="R180" s="32"/>
      <c r="S180" s="32">
        <f t="shared" si="44"/>
        <v>0</v>
      </c>
      <c r="T180" s="33"/>
      <c r="U180" s="35">
        <f t="shared" si="45"/>
        <v>0</v>
      </c>
      <c r="V180" s="32">
        <f t="shared" si="46"/>
        <v>0</v>
      </c>
      <c r="W180" s="32">
        <f t="shared" si="47"/>
        <v>0</v>
      </c>
    </row>
    <row r="181" spans="1:23" ht="45">
      <c r="A181" s="23">
        <v>176</v>
      </c>
      <c r="B181" s="42" t="s">
        <v>124</v>
      </c>
      <c r="C181" s="10"/>
      <c r="D181" s="16"/>
      <c r="E181" s="72" t="s">
        <v>1</v>
      </c>
      <c r="F181" s="71">
        <v>15</v>
      </c>
      <c r="G181" s="73">
        <v>15.25</v>
      </c>
      <c r="H181" s="73">
        <f t="shared" si="38"/>
        <v>228.75</v>
      </c>
      <c r="I181" s="74">
        <v>0.23</v>
      </c>
      <c r="J181" s="73">
        <f t="shared" si="39"/>
        <v>52.612500000000004</v>
      </c>
      <c r="K181" s="73">
        <f t="shared" si="40"/>
        <v>281.36250000000001</v>
      </c>
      <c r="L181" s="73">
        <f t="shared" si="41"/>
        <v>18.7575</v>
      </c>
      <c r="M181" s="75">
        <f>2</f>
        <v>2</v>
      </c>
      <c r="N181" s="76">
        <f t="shared" si="42"/>
        <v>37.515000000000001</v>
      </c>
      <c r="O181" s="75">
        <f>2</f>
        <v>2</v>
      </c>
      <c r="P181" s="76">
        <f t="shared" si="43"/>
        <v>37.515000000000001</v>
      </c>
      <c r="Q181" s="75">
        <v>15</v>
      </c>
      <c r="R181" s="32"/>
      <c r="S181" s="32">
        <f t="shared" si="44"/>
        <v>0</v>
      </c>
      <c r="T181" s="33"/>
      <c r="U181" s="35">
        <f t="shared" si="45"/>
        <v>0</v>
      </c>
      <c r="V181" s="32">
        <f t="shared" si="46"/>
        <v>0</v>
      </c>
      <c r="W181" s="32">
        <f t="shared" si="47"/>
        <v>0</v>
      </c>
    </row>
    <row r="182" spans="1:23" ht="33">
      <c r="A182" s="23">
        <v>177</v>
      </c>
      <c r="B182" s="42" t="s">
        <v>158</v>
      </c>
      <c r="C182" s="3"/>
      <c r="D182" s="15"/>
      <c r="E182" s="72" t="s">
        <v>1</v>
      </c>
      <c r="F182" s="71">
        <v>220</v>
      </c>
      <c r="G182" s="73">
        <v>1.1399999999999999</v>
      </c>
      <c r="H182" s="73">
        <f t="shared" si="38"/>
        <v>250.79999999999998</v>
      </c>
      <c r="I182" s="74">
        <v>0.23</v>
      </c>
      <c r="J182" s="73">
        <f t="shared" si="39"/>
        <v>57.683999999999997</v>
      </c>
      <c r="K182" s="73">
        <f t="shared" si="40"/>
        <v>308.48399999999998</v>
      </c>
      <c r="L182" s="73">
        <f t="shared" si="41"/>
        <v>1.4021999999999999</v>
      </c>
      <c r="M182" s="75">
        <f>15+3+10+20+10+2+20+20+10+5+10+10+20+10+10+20+5+5+10+10+10+20+50+5+5+30+3+7+30+2</f>
        <v>387</v>
      </c>
      <c r="N182" s="76">
        <f t="shared" si="42"/>
        <v>542.65139999999997</v>
      </c>
      <c r="O182" s="75">
        <f>10+3+15+20+10+20+2+20+10+10+5+10+20+10+10+5+20+10+5+10+20+10+50+5+5+7+30+3+30+2</f>
        <v>387</v>
      </c>
      <c r="P182" s="76">
        <f t="shared" si="43"/>
        <v>542.65139999999997</v>
      </c>
      <c r="Q182" s="75">
        <v>390</v>
      </c>
      <c r="R182" s="32"/>
      <c r="S182" s="32">
        <f t="shared" si="44"/>
        <v>0</v>
      </c>
      <c r="T182" s="33"/>
      <c r="U182" s="35">
        <f t="shared" si="45"/>
        <v>0</v>
      </c>
      <c r="V182" s="32">
        <f t="shared" si="46"/>
        <v>0</v>
      </c>
      <c r="W182" s="32">
        <f t="shared" si="47"/>
        <v>0</v>
      </c>
    </row>
    <row r="183" spans="1:23" ht="30">
      <c r="A183" s="23">
        <v>178</v>
      </c>
      <c r="B183" s="42" t="s">
        <v>125</v>
      </c>
      <c r="C183" s="3"/>
      <c r="D183" s="15"/>
      <c r="E183" s="72" t="s">
        <v>1</v>
      </c>
      <c r="F183" s="71">
        <v>250</v>
      </c>
      <c r="G183" s="73">
        <v>2.52</v>
      </c>
      <c r="H183" s="73">
        <f t="shared" si="38"/>
        <v>630</v>
      </c>
      <c r="I183" s="74">
        <v>0.23</v>
      </c>
      <c r="J183" s="73">
        <f t="shared" si="39"/>
        <v>144.9</v>
      </c>
      <c r="K183" s="73">
        <f t="shared" si="40"/>
        <v>774.9</v>
      </c>
      <c r="L183" s="73">
        <f t="shared" si="41"/>
        <v>3.0996000000000001</v>
      </c>
      <c r="M183" s="75">
        <f>10+10+10+15+10+5+20+5+5+5+20+10+10+5+16+5+5+5+9+2</f>
        <v>182</v>
      </c>
      <c r="N183" s="76">
        <f t="shared" si="42"/>
        <v>564.12720000000002</v>
      </c>
      <c r="O183" s="75">
        <f>10+10+10+15+10+5+20+5+5+5+20+10+10+5+16+5+5+9+5+2</f>
        <v>182</v>
      </c>
      <c r="P183" s="76">
        <f t="shared" si="43"/>
        <v>564.12720000000002</v>
      </c>
      <c r="Q183" s="75">
        <v>400</v>
      </c>
      <c r="R183" s="32"/>
      <c r="S183" s="32">
        <f t="shared" si="44"/>
        <v>0</v>
      </c>
      <c r="T183" s="33"/>
      <c r="U183" s="35">
        <f t="shared" si="45"/>
        <v>0</v>
      </c>
      <c r="V183" s="32">
        <f t="shared" si="46"/>
        <v>0</v>
      </c>
      <c r="W183" s="32">
        <f t="shared" si="47"/>
        <v>0</v>
      </c>
    </row>
    <row r="184" spans="1:23">
      <c r="A184" s="23">
        <v>179</v>
      </c>
      <c r="B184" s="42" t="s">
        <v>126</v>
      </c>
      <c r="C184" s="3"/>
      <c r="D184" s="15"/>
      <c r="E184" s="72" t="s">
        <v>1</v>
      </c>
      <c r="F184" s="71">
        <v>300</v>
      </c>
      <c r="G184" s="73">
        <v>0.81</v>
      </c>
      <c r="H184" s="73">
        <f t="shared" si="38"/>
        <v>243.00000000000003</v>
      </c>
      <c r="I184" s="74">
        <v>0.23</v>
      </c>
      <c r="J184" s="73">
        <f t="shared" si="39"/>
        <v>55.890000000000008</v>
      </c>
      <c r="K184" s="73">
        <f t="shared" si="40"/>
        <v>298.89000000000004</v>
      </c>
      <c r="L184" s="73">
        <f t="shared" si="41"/>
        <v>0.99630000000000007</v>
      </c>
      <c r="M184" s="75">
        <f>20+10+20+10+10+20+10+5+2</f>
        <v>107</v>
      </c>
      <c r="N184" s="76">
        <f t="shared" si="42"/>
        <v>106.6041</v>
      </c>
      <c r="O184" s="75">
        <f>20+10+20+10+10+20+10+5+2</f>
        <v>107</v>
      </c>
      <c r="P184" s="76">
        <f t="shared" si="43"/>
        <v>106.6041</v>
      </c>
      <c r="Q184" s="75">
        <v>110</v>
      </c>
      <c r="R184" s="32"/>
      <c r="S184" s="32">
        <f t="shared" si="44"/>
        <v>0</v>
      </c>
      <c r="T184" s="33"/>
      <c r="U184" s="35">
        <f t="shared" si="45"/>
        <v>0</v>
      </c>
      <c r="V184" s="32">
        <f t="shared" si="46"/>
        <v>0</v>
      </c>
      <c r="W184" s="32">
        <f t="shared" si="47"/>
        <v>0</v>
      </c>
    </row>
    <row r="185" spans="1:23" ht="30">
      <c r="A185" s="23">
        <v>180</v>
      </c>
      <c r="B185" s="42" t="s">
        <v>127</v>
      </c>
      <c r="C185" s="3"/>
      <c r="D185" s="15"/>
      <c r="E185" s="72" t="s">
        <v>1</v>
      </c>
      <c r="F185" s="71">
        <v>170</v>
      </c>
      <c r="G185" s="73">
        <v>0.87</v>
      </c>
      <c r="H185" s="73">
        <f t="shared" si="38"/>
        <v>147.9</v>
      </c>
      <c r="I185" s="74">
        <v>0.23</v>
      </c>
      <c r="J185" s="73">
        <f t="shared" si="39"/>
        <v>34.017000000000003</v>
      </c>
      <c r="K185" s="73">
        <f t="shared" si="40"/>
        <v>181.917</v>
      </c>
      <c r="L185" s="73">
        <f t="shared" si="41"/>
        <v>1.0701000000000001</v>
      </c>
      <c r="M185" s="75">
        <f>10+5+2+5+5+5+5+6+5+5+5+10+10+2</f>
        <v>80</v>
      </c>
      <c r="N185" s="76">
        <f t="shared" si="42"/>
        <v>85.608000000000004</v>
      </c>
      <c r="O185" s="75">
        <f>10+5+2+5+5+5+5+6+5+5+10+10+2</f>
        <v>75</v>
      </c>
      <c r="P185" s="76">
        <f t="shared" si="43"/>
        <v>80.257500000000007</v>
      </c>
      <c r="Q185" s="75">
        <v>85</v>
      </c>
      <c r="R185" s="32"/>
      <c r="S185" s="32">
        <f t="shared" si="44"/>
        <v>0</v>
      </c>
      <c r="T185" s="33"/>
      <c r="U185" s="35">
        <f t="shared" si="45"/>
        <v>0</v>
      </c>
      <c r="V185" s="32">
        <f t="shared" si="46"/>
        <v>0</v>
      </c>
      <c r="W185" s="32">
        <f t="shared" si="47"/>
        <v>0</v>
      </c>
    </row>
    <row r="186" spans="1:23" ht="30">
      <c r="A186" s="23">
        <v>181</v>
      </c>
      <c r="B186" s="42" t="s">
        <v>128</v>
      </c>
      <c r="C186" s="3"/>
      <c r="D186" s="15"/>
      <c r="E186" s="72" t="s">
        <v>1</v>
      </c>
      <c r="F186" s="71">
        <v>100</v>
      </c>
      <c r="G186" s="73">
        <v>0.66</v>
      </c>
      <c r="H186" s="73">
        <f t="shared" si="38"/>
        <v>66</v>
      </c>
      <c r="I186" s="74">
        <v>0.23</v>
      </c>
      <c r="J186" s="73">
        <f t="shared" si="39"/>
        <v>15.180000000000001</v>
      </c>
      <c r="K186" s="73">
        <f t="shared" si="40"/>
        <v>81.180000000000007</v>
      </c>
      <c r="L186" s="73">
        <f t="shared" si="41"/>
        <v>0.81180000000000008</v>
      </c>
      <c r="M186" s="75">
        <f>10+10+10+5+10+5+5+1+5+5+2</f>
        <v>68</v>
      </c>
      <c r="N186" s="76">
        <f t="shared" si="42"/>
        <v>55.202400000000004</v>
      </c>
      <c r="O186" s="75">
        <f>10+10+10+5+6+5+4+5+1+5+5+2</f>
        <v>68</v>
      </c>
      <c r="P186" s="76">
        <f t="shared" si="43"/>
        <v>55.202400000000004</v>
      </c>
      <c r="Q186" s="75">
        <v>70</v>
      </c>
      <c r="R186" s="32"/>
      <c r="S186" s="32">
        <f t="shared" si="44"/>
        <v>0</v>
      </c>
      <c r="T186" s="33"/>
      <c r="U186" s="35">
        <f t="shared" si="45"/>
        <v>0</v>
      </c>
      <c r="V186" s="32">
        <f t="shared" si="46"/>
        <v>0</v>
      </c>
      <c r="W186" s="32">
        <f t="shared" si="47"/>
        <v>0</v>
      </c>
    </row>
    <row r="187" spans="1:23" ht="30">
      <c r="A187" s="23">
        <v>182</v>
      </c>
      <c r="B187" s="42" t="s">
        <v>129</v>
      </c>
      <c r="C187" s="3"/>
      <c r="D187" s="15"/>
      <c r="E187" s="72" t="s">
        <v>1</v>
      </c>
      <c r="F187" s="71">
        <v>15</v>
      </c>
      <c r="G187" s="73">
        <v>15.64</v>
      </c>
      <c r="H187" s="73">
        <f t="shared" si="38"/>
        <v>234.60000000000002</v>
      </c>
      <c r="I187" s="74">
        <v>0.23</v>
      </c>
      <c r="J187" s="73">
        <f t="shared" si="39"/>
        <v>53.958000000000006</v>
      </c>
      <c r="K187" s="73">
        <f t="shared" si="40"/>
        <v>288.55800000000005</v>
      </c>
      <c r="L187" s="73">
        <f t="shared" si="41"/>
        <v>19.237200000000001</v>
      </c>
      <c r="M187" s="75">
        <f>10+2+1+1+2+1+4</f>
        <v>21</v>
      </c>
      <c r="N187" s="76">
        <f t="shared" si="42"/>
        <v>403.98120000000006</v>
      </c>
      <c r="O187" s="75">
        <f>10+2+1+1+2+1</f>
        <v>17</v>
      </c>
      <c r="P187" s="76">
        <f t="shared" si="43"/>
        <v>327.03240000000005</v>
      </c>
      <c r="Q187" s="75">
        <v>45</v>
      </c>
      <c r="R187" s="32"/>
      <c r="S187" s="32">
        <f t="shared" si="44"/>
        <v>0</v>
      </c>
      <c r="T187" s="33"/>
      <c r="U187" s="35">
        <f t="shared" si="45"/>
        <v>0</v>
      </c>
      <c r="V187" s="32">
        <f t="shared" si="46"/>
        <v>0</v>
      </c>
      <c r="W187" s="32">
        <f t="shared" si="47"/>
        <v>0</v>
      </c>
    </row>
    <row r="188" spans="1:23" ht="30">
      <c r="A188" s="23">
        <v>183</v>
      </c>
      <c r="B188" s="42" t="s">
        <v>130</v>
      </c>
      <c r="C188" s="3"/>
      <c r="D188" s="15"/>
      <c r="E188" s="72" t="s">
        <v>1</v>
      </c>
      <c r="F188" s="71">
        <v>30</v>
      </c>
      <c r="G188" s="73">
        <v>7.82</v>
      </c>
      <c r="H188" s="73">
        <f t="shared" si="38"/>
        <v>234.60000000000002</v>
      </c>
      <c r="I188" s="74">
        <v>0.23</v>
      </c>
      <c r="J188" s="73">
        <f t="shared" si="39"/>
        <v>53.958000000000006</v>
      </c>
      <c r="K188" s="73">
        <f t="shared" si="40"/>
        <v>288.55800000000005</v>
      </c>
      <c r="L188" s="73">
        <f t="shared" si="41"/>
        <v>9.6186000000000007</v>
      </c>
      <c r="M188" s="75">
        <f>5+5+2+5+5+6+4+5</f>
        <v>37</v>
      </c>
      <c r="N188" s="76">
        <f t="shared" si="42"/>
        <v>355.88820000000004</v>
      </c>
      <c r="O188" s="75">
        <f>5+5+2+5+5+6+4+5</f>
        <v>37</v>
      </c>
      <c r="P188" s="76">
        <f t="shared" si="43"/>
        <v>355.88820000000004</v>
      </c>
      <c r="Q188" s="75">
        <v>50</v>
      </c>
      <c r="R188" s="32"/>
      <c r="S188" s="32">
        <f t="shared" si="44"/>
        <v>0</v>
      </c>
      <c r="T188" s="33"/>
      <c r="U188" s="35">
        <f t="shared" si="45"/>
        <v>0</v>
      </c>
      <c r="V188" s="32">
        <f t="shared" si="46"/>
        <v>0</v>
      </c>
      <c r="W188" s="32">
        <f t="shared" si="47"/>
        <v>0</v>
      </c>
    </row>
    <row r="189" spans="1:23" ht="30">
      <c r="A189" s="23">
        <v>184</v>
      </c>
      <c r="B189" s="42" t="s">
        <v>131</v>
      </c>
      <c r="C189" s="3"/>
      <c r="D189" s="15"/>
      <c r="E189" s="72" t="s">
        <v>1</v>
      </c>
      <c r="F189" s="71">
        <v>8</v>
      </c>
      <c r="G189" s="73">
        <v>11.1</v>
      </c>
      <c r="H189" s="73">
        <f t="shared" si="38"/>
        <v>88.8</v>
      </c>
      <c r="I189" s="74">
        <v>0.23</v>
      </c>
      <c r="J189" s="73">
        <f t="shared" si="39"/>
        <v>20.423999999999999</v>
      </c>
      <c r="K189" s="73">
        <f t="shared" si="40"/>
        <v>109.22399999999999</v>
      </c>
      <c r="L189" s="73">
        <f t="shared" si="41"/>
        <v>13.652999999999999</v>
      </c>
      <c r="M189" s="75">
        <f>5+5+3+4+4</f>
        <v>21</v>
      </c>
      <c r="N189" s="76">
        <f t="shared" si="42"/>
        <v>286.71299999999997</v>
      </c>
      <c r="O189" s="75">
        <f>5+5+3+4+4</f>
        <v>21</v>
      </c>
      <c r="P189" s="76">
        <f t="shared" si="43"/>
        <v>286.71299999999997</v>
      </c>
      <c r="Q189" s="75">
        <v>21</v>
      </c>
      <c r="R189" s="32"/>
      <c r="S189" s="32">
        <f t="shared" si="44"/>
        <v>0</v>
      </c>
      <c r="T189" s="33"/>
      <c r="U189" s="35">
        <f t="shared" si="45"/>
        <v>0</v>
      </c>
      <c r="V189" s="32">
        <f t="shared" si="46"/>
        <v>0</v>
      </c>
      <c r="W189" s="32">
        <f t="shared" si="47"/>
        <v>0</v>
      </c>
    </row>
    <row r="190" spans="1:23" ht="45">
      <c r="A190" s="23">
        <v>185</v>
      </c>
      <c r="B190" s="42" t="s">
        <v>132</v>
      </c>
      <c r="C190" s="3"/>
      <c r="D190" s="15"/>
      <c r="E190" s="72" t="s">
        <v>1</v>
      </c>
      <c r="F190" s="71">
        <v>5</v>
      </c>
      <c r="G190" s="73">
        <v>28.95</v>
      </c>
      <c r="H190" s="73">
        <f t="shared" si="38"/>
        <v>144.75</v>
      </c>
      <c r="I190" s="74">
        <v>0.23</v>
      </c>
      <c r="J190" s="73">
        <f t="shared" si="39"/>
        <v>33.292500000000004</v>
      </c>
      <c r="K190" s="73">
        <f t="shared" si="40"/>
        <v>178.04250000000002</v>
      </c>
      <c r="L190" s="73">
        <f t="shared" si="41"/>
        <v>35.608499999999999</v>
      </c>
      <c r="M190" s="75">
        <f>3+2+3+3+1+4+2</f>
        <v>18</v>
      </c>
      <c r="N190" s="76">
        <f t="shared" si="42"/>
        <v>640.95299999999997</v>
      </c>
      <c r="O190" s="75">
        <f>3+3+2+3+1+4+2</f>
        <v>18</v>
      </c>
      <c r="P190" s="76">
        <f t="shared" si="43"/>
        <v>640.95299999999997</v>
      </c>
      <c r="Q190" s="75">
        <v>18</v>
      </c>
      <c r="R190" s="32"/>
      <c r="S190" s="32">
        <f t="shared" si="44"/>
        <v>0</v>
      </c>
      <c r="T190" s="33"/>
      <c r="U190" s="35">
        <f t="shared" si="45"/>
        <v>0</v>
      </c>
      <c r="V190" s="32">
        <f t="shared" si="46"/>
        <v>0</v>
      </c>
      <c r="W190" s="32">
        <f t="shared" si="47"/>
        <v>0</v>
      </c>
    </row>
    <row r="191" spans="1:23" ht="45">
      <c r="A191" s="23">
        <v>186</v>
      </c>
      <c r="B191" s="42" t="s">
        <v>133</v>
      </c>
      <c r="C191" s="3"/>
      <c r="D191" s="15"/>
      <c r="E191" s="72" t="s">
        <v>1</v>
      </c>
      <c r="F191" s="71">
        <v>140</v>
      </c>
      <c r="G191" s="73">
        <v>0.94</v>
      </c>
      <c r="H191" s="73">
        <f t="shared" si="38"/>
        <v>131.6</v>
      </c>
      <c r="I191" s="74">
        <v>0.23</v>
      </c>
      <c r="J191" s="73">
        <f t="shared" si="39"/>
        <v>30.268000000000001</v>
      </c>
      <c r="K191" s="73">
        <f t="shared" si="40"/>
        <v>161.86799999999999</v>
      </c>
      <c r="L191" s="73">
        <f t="shared" si="41"/>
        <v>1.1561999999999999</v>
      </c>
      <c r="M191" s="75">
        <f>6+6+5+10+15+2+5+2+3+3+5+2+2+10+1+1+3+1</f>
        <v>82</v>
      </c>
      <c r="N191" s="76">
        <f t="shared" si="42"/>
        <v>94.808399999999992</v>
      </c>
      <c r="O191" s="75">
        <f>6+6+5+10+15+2+2+5+3+3+5+2+10+2+1+1+3+1</f>
        <v>82</v>
      </c>
      <c r="P191" s="76">
        <f t="shared" si="43"/>
        <v>94.808399999999992</v>
      </c>
      <c r="Q191" s="75">
        <v>85</v>
      </c>
      <c r="R191" s="32"/>
      <c r="S191" s="32">
        <f t="shared" si="44"/>
        <v>0</v>
      </c>
      <c r="T191" s="33"/>
      <c r="U191" s="35">
        <f t="shared" si="45"/>
        <v>0</v>
      </c>
      <c r="V191" s="32">
        <f t="shared" si="46"/>
        <v>0</v>
      </c>
      <c r="W191" s="32">
        <f t="shared" si="47"/>
        <v>0</v>
      </c>
    </row>
    <row r="192" spans="1:23" ht="30">
      <c r="A192" s="23">
        <v>187</v>
      </c>
      <c r="B192" s="49" t="s">
        <v>222</v>
      </c>
      <c r="C192" s="3"/>
      <c r="D192" s="15"/>
      <c r="E192" s="72" t="s">
        <v>1</v>
      </c>
      <c r="F192" s="71">
        <v>25</v>
      </c>
      <c r="G192" s="73">
        <v>1.32</v>
      </c>
      <c r="H192" s="73">
        <f t="shared" si="38"/>
        <v>33</v>
      </c>
      <c r="I192" s="74">
        <v>0.23</v>
      </c>
      <c r="J192" s="73">
        <f t="shared" si="39"/>
        <v>7.5900000000000007</v>
      </c>
      <c r="K192" s="73">
        <f t="shared" si="40"/>
        <v>40.590000000000003</v>
      </c>
      <c r="L192" s="73">
        <f t="shared" si="41"/>
        <v>1.6236000000000002</v>
      </c>
      <c r="M192" s="75">
        <f>40+10+4+10+4+20+6+6</f>
        <v>100</v>
      </c>
      <c r="N192" s="76">
        <f t="shared" si="42"/>
        <v>162.36000000000001</v>
      </c>
      <c r="O192" s="75">
        <f>40+10+10+20+6+6</f>
        <v>92</v>
      </c>
      <c r="P192" s="76">
        <f t="shared" si="43"/>
        <v>149.37120000000002</v>
      </c>
      <c r="Q192" s="75">
        <v>100</v>
      </c>
      <c r="R192" s="32"/>
      <c r="S192" s="32">
        <f t="shared" si="44"/>
        <v>0</v>
      </c>
      <c r="T192" s="33"/>
      <c r="U192" s="35">
        <f t="shared" si="45"/>
        <v>0</v>
      </c>
      <c r="V192" s="32">
        <f t="shared" si="46"/>
        <v>0</v>
      </c>
      <c r="W192" s="32">
        <f t="shared" si="47"/>
        <v>0</v>
      </c>
    </row>
    <row r="193" spans="1:23">
      <c r="A193" s="23">
        <v>188</v>
      </c>
      <c r="B193" s="49" t="s">
        <v>223</v>
      </c>
      <c r="C193" s="3"/>
      <c r="D193" s="15"/>
      <c r="E193" s="72" t="s">
        <v>1</v>
      </c>
      <c r="F193" s="71">
        <v>20</v>
      </c>
      <c r="G193" s="73">
        <v>0.37</v>
      </c>
      <c r="H193" s="73">
        <f t="shared" si="38"/>
        <v>7.4</v>
      </c>
      <c r="I193" s="74">
        <v>0.23</v>
      </c>
      <c r="J193" s="73">
        <f t="shared" si="39"/>
        <v>1.7020000000000002</v>
      </c>
      <c r="K193" s="73">
        <f t="shared" si="40"/>
        <v>9.1020000000000003</v>
      </c>
      <c r="L193" s="73">
        <f t="shared" si="41"/>
        <v>0.4551</v>
      </c>
      <c r="M193" s="75">
        <f>10+10+5+5+20+20+20</f>
        <v>90</v>
      </c>
      <c r="N193" s="76">
        <f t="shared" si="42"/>
        <v>40.959000000000003</v>
      </c>
      <c r="O193" s="75">
        <f>10+5+10+5+20</f>
        <v>50</v>
      </c>
      <c r="P193" s="76">
        <f t="shared" si="43"/>
        <v>22.754999999999999</v>
      </c>
      <c r="Q193" s="75">
        <v>90</v>
      </c>
      <c r="R193" s="32"/>
      <c r="S193" s="32">
        <f t="shared" si="44"/>
        <v>0</v>
      </c>
      <c r="T193" s="33"/>
      <c r="U193" s="35">
        <f t="shared" si="45"/>
        <v>0</v>
      </c>
      <c r="V193" s="32">
        <f t="shared" si="46"/>
        <v>0</v>
      </c>
      <c r="W193" s="32">
        <f t="shared" si="47"/>
        <v>0</v>
      </c>
    </row>
    <row r="194" spans="1:23" ht="45">
      <c r="A194" s="23">
        <v>189</v>
      </c>
      <c r="B194" s="49" t="s">
        <v>226</v>
      </c>
      <c r="C194" s="3"/>
      <c r="D194" s="15"/>
      <c r="E194" s="72" t="s">
        <v>1</v>
      </c>
      <c r="F194" s="71">
        <v>50</v>
      </c>
      <c r="G194" s="73">
        <v>5.01</v>
      </c>
      <c r="H194" s="73">
        <f t="shared" si="38"/>
        <v>250.5</v>
      </c>
      <c r="I194" s="74">
        <v>0.23</v>
      </c>
      <c r="J194" s="73">
        <f t="shared" si="39"/>
        <v>57.615000000000002</v>
      </c>
      <c r="K194" s="73">
        <f t="shared" si="40"/>
        <v>308.11500000000001</v>
      </c>
      <c r="L194" s="73">
        <f t="shared" si="41"/>
        <v>6.1623000000000001</v>
      </c>
      <c r="M194" s="75">
        <f>4+3+5+8+6+6+2+6+2</f>
        <v>42</v>
      </c>
      <c r="N194" s="76">
        <f t="shared" si="42"/>
        <v>258.81659999999999</v>
      </c>
      <c r="O194" s="75">
        <f>4+3+5+8+6+6+2+6+2</f>
        <v>42</v>
      </c>
      <c r="P194" s="76">
        <f t="shared" si="43"/>
        <v>258.81659999999999</v>
      </c>
      <c r="Q194" s="75">
        <v>50</v>
      </c>
      <c r="R194" s="32"/>
      <c r="S194" s="32">
        <f t="shared" si="44"/>
        <v>0</v>
      </c>
      <c r="T194" s="33"/>
      <c r="U194" s="35">
        <f t="shared" si="45"/>
        <v>0</v>
      </c>
      <c r="V194" s="32">
        <f t="shared" si="46"/>
        <v>0</v>
      </c>
      <c r="W194" s="32">
        <f t="shared" si="47"/>
        <v>0</v>
      </c>
    </row>
    <row r="195" spans="1:23">
      <c r="A195" s="23">
        <v>190</v>
      </c>
      <c r="B195" s="49" t="s">
        <v>224</v>
      </c>
      <c r="C195" s="3"/>
      <c r="D195" s="15"/>
      <c r="E195" s="72" t="s">
        <v>1</v>
      </c>
      <c r="F195" s="71">
        <v>10</v>
      </c>
      <c r="G195" s="73">
        <v>0.15</v>
      </c>
      <c r="H195" s="73">
        <f t="shared" si="38"/>
        <v>1.5</v>
      </c>
      <c r="I195" s="74">
        <v>0.23</v>
      </c>
      <c r="J195" s="73">
        <f t="shared" si="39"/>
        <v>0.34500000000000003</v>
      </c>
      <c r="K195" s="73">
        <f t="shared" si="40"/>
        <v>1.845</v>
      </c>
      <c r="L195" s="73">
        <f t="shared" si="41"/>
        <v>0.1845</v>
      </c>
      <c r="M195" s="75">
        <f>5</f>
        <v>5</v>
      </c>
      <c r="N195" s="76">
        <f t="shared" si="42"/>
        <v>0.92249999999999999</v>
      </c>
      <c r="O195" s="75">
        <f>5</f>
        <v>5</v>
      </c>
      <c r="P195" s="76">
        <f t="shared" si="43"/>
        <v>0.92249999999999999</v>
      </c>
      <c r="Q195" s="75">
        <v>5</v>
      </c>
      <c r="R195" s="32"/>
      <c r="S195" s="32">
        <f t="shared" si="44"/>
        <v>0</v>
      </c>
      <c r="T195" s="33"/>
      <c r="U195" s="35">
        <f t="shared" si="45"/>
        <v>0</v>
      </c>
      <c r="V195" s="32">
        <f t="shared" si="46"/>
        <v>0</v>
      </c>
      <c r="W195" s="32">
        <f t="shared" si="47"/>
        <v>0</v>
      </c>
    </row>
    <row r="196" spans="1:23" ht="45">
      <c r="A196" s="23">
        <v>191</v>
      </c>
      <c r="B196" s="49" t="s">
        <v>225</v>
      </c>
      <c r="C196" s="3"/>
      <c r="D196" s="15"/>
      <c r="E196" s="72" t="s">
        <v>1</v>
      </c>
      <c r="F196" s="71">
        <v>160</v>
      </c>
      <c r="G196" s="73">
        <v>5</v>
      </c>
      <c r="H196" s="73">
        <f t="shared" si="38"/>
        <v>800</v>
      </c>
      <c r="I196" s="74">
        <v>0.23</v>
      </c>
      <c r="J196" s="73">
        <f t="shared" si="39"/>
        <v>184</v>
      </c>
      <c r="K196" s="73">
        <f t="shared" si="40"/>
        <v>984</v>
      </c>
      <c r="L196" s="73">
        <f t="shared" si="41"/>
        <v>6.15</v>
      </c>
      <c r="M196" s="75">
        <f>84+15+10+10+1+45+6+3+10+10+3+6+18+18+18+20+20+8</f>
        <v>305</v>
      </c>
      <c r="N196" s="76">
        <f t="shared" si="42"/>
        <v>1875.75</v>
      </c>
      <c r="O196" s="75">
        <f>84+15+10+10+45+1+6+10+10+6+18+18+18+8</f>
        <v>259</v>
      </c>
      <c r="P196" s="76">
        <f t="shared" si="43"/>
        <v>1592.8500000000001</v>
      </c>
      <c r="Q196" s="75">
        <v>305</v>
      </c>
      <c r="R196" s="32"/>
      <c r="S196" s="32">
        <f t="shared" si="44"/>
        <v>0</v>
      </c>
      <c r="T196" s="33"/>
      <c r="U196" s="35">
        <f t="shared" si="45"/>
        <v>0</v>
      </c>
      <c r="V196" s="32">
        <f t="shared" si="46"/>
        <v>0</v>
      </c>
      <c r="W196" s="32">
        <f t="shared" si="47"/>
        <v>0</v>
      </c>
    </row>
    <row r="197" spans="1:23" ht="30">
      <c r="A197" s="23">
        <v>192</v>
      </c>
      <c r="B197" s="42" t="s">
        <v>134</v>
      </c>
      <c r="C197" s="13"/>
      <c r="D197" s="21"/>
      <c r="E197" s="72" t="s">
        <v>2</v>
      </c>
      <c r="F197" s="71">
        <v>45</v>
      </c>
      <c r="G197" s="73">
        <v>3.57</v>
      </c>
      <c r="H197" s="73">
        <f t="shared" ref="H197:H210" si="48">F197*G197</f>
        <v>160.65</v>
      </c>
      <c r="I197" s="74">
        <v>0.23</v>
      </c>
      <c r="J197" s="73">
        <f t="shared" ref="J197:J210" si="49">H197*I197</f>
        <v>36.9495</v>
      </c>
      <c r="K197" s="73">
        <f t="shared" ref="K197:K210" si="50">H197+J197</f>
        <v>197.59950000000001</v>
      </c>
      <c r="L197" s="73">
        <f t="shared" ref="L197:L210" si="51">G197*I197+G197</f>
        <v>4.3910999999999998</v>
      </c>
      <c r="M197" s="75">
        <f>5+4+2+5+7+1+5+2+5+4+4+1</f>
        <v>45</v>
      </c>
      <c r="N197" s="76">
        <f t="shared" ref="N197:N210" si="52">M197*L197</f>
        <v>197.59949999999998</v>
      </c>
      <c r="O197" s="75">
        <f>5+4+2+5+7+1+5+5+2+4+1</f>
        <v>41</v>
      </c>
      <c r="P197" s="76">
        <f t="shared" ref="P197:P210" si="53">O197*L197</f>
        <v>180.0351</v>
      </c>
      <c r="Q197" s="75">
        <v>100</v>
      </c>
      <c r="R197" s="32"/>
      <c r="S197" s="32">
        <f t="shared" ref="S197:S210" si="54">Q197*R197</f>
        <v>0</v>
      </c>
      <c r="T197" s="33"/>
      <c r="U197" s="35">
        <f t="shared" ref="U197:U210" si="55">S197*T197</f>
        <v>0</v>
      </c>
      <c r="V197" s="32">
        <f t="shared" ref="V197:V210" si="56">R197+T197</f>
        <v>0</v>
      </c>
      <c r="W197" s="32">
        <f t="shared" ref="W197:W210" si="57">S197+S197*T197</f>
        <v>0</v>
      </c>
    </row>
    <row r="198" spans="1:23" ht="75">
      <c r="A198" s="23">
        <v>193</v>
      </c>
      <c r="B198" s="42" t="s">
        <v>159</v>
      </c>
      <c r="C198" s="10"/>
      <c r="D198" s="16"/>
      <c r="E198" s="72" t="s">
        <v>1</v>
      </c>
      <c r="F198" s="71">
        <v>200</v>
      </c>
      <c r="G198" s="73">
        <v>0.62</v>
      </c>
      <c r="H198" s="73">
        <f t="shared" si="48"/>
        <v>124</v>
      </c>
      <c r="I198" s="74">
        <v>0.23</v>
      </c>
      <c r="J198" s="73">
        <f t="shared" si="49"/>
        <v>28.52</v>
      </c>
      <c r="K198" s="73">
        <f t="shared" si="50"/>
        <v>152.52000000000001</v>
      </c>
      <c r="L198" s="73">
        <f t="shared" si="51"/>
        <v>0.76259999999999994</v>
      </c>
      <c r="M198" s="75">
        <f>5+20+1+24+6+20+5+10+8+8+20+10+10+10+2+4+4+4+4+3+10+10+3+10+4+10+10+3+5+5+5+6+4+5+20+10+6+6+4+4+8</f>
        <v>326</v>
      </c>
      <c r="N198" s="76">
        <f t="shared" si="52"/>
        <v>248.60759999999999</v>
      </c>
      <c r="O198" s="75">
        <f>5+6+24+1+20+5+10+20+20+8+10+8+10+10+2+4+4+4+4+3+10+10+10+3+4+10+10+3+5+5+5+6+4+20+5+10+4+4+8</f>
        <v>314</v>
      </c>
      <c r="P198" s="76">
        <f t="shared" si="53"/>
        <v>239.45639999999997</v>
      </c>
      <c r="Q198" s="75">
        <v>330</v>
      </c>
      <c r="R198" s="32"/>
      <c r="S198" s="32">
        <f t="shared" si="54"/>
        <v>0</v>
      </c>
      <c r="T198" s="33"/>
      <c r="U198" s="35">
        <f t="shared" si="55"/>
        <v>0</v>
      </c>
      <c r="V198" s="32">
        <f t="shared" si="56"/>
        <v>0</v>
      </c>
      <c r="W198" s="32">
        <f t="shared" si="57"/>
        <v>0</v>
      </c>
    </row>
    <row r="199" spans="1:23" ht="60">
      <c r="A199" s="23">
        <v>194</v>
      </c>
      <c r="B199" s="42" t="s">
        <v>135</v>
      </c>
      <c r="C199" s="3"/>
      <c r="D199" s="15"/>
      <c r="E199" s="72" t="s">
        <v>2</v>
      </c>
      <c r="F199" s="71">
        <v>10</v>
      </c>
      <c r="G199" s="73">
        <v>14.4</v>
      </c>
      <c r="H199" s="73">
        <f t="shared" si="48"/>
        <v>144</v>
      </c>
      <c r="I199" s="74">
        <v>0.23</v>
      </c>
      <c r="J199" s="73">
        <f t="shared" si="49"/>
        <v>33.120000000000005</v>
      </c>
      <c r="K199" s="73">
        <f t="shared" si="50"/>
        <v>177.12</v>
      </c>
      <c r="L199" s="73">
        <f t="shared" si="51"/>
        <v>17.712</v>
      </c>
      <c r="M199" s="75">
        <f>5+2+2+1+1+5+1+2</f>
        <v>19</v>
      </c>
      <c r="N199" s="76">
        <f t="shared" si="52"/>
        <v>336.52800000000002</v>
      </c>
      <c r="O199" s="75">
        <f>2+5+2+1+1+2+1</f>
        <v>14</v>
      </c>
      <c r="P199" s="76">
        <f t="shared" si="53"/>
        <v>247.96799999999999</v>
      </c>
      <c r="Q199" s="75">
        <v>20</v>
      </c>
      <c r="R199" s="32"/>
      <c r="S199" s="32">
        <f t="shared" si="54"/>
        <v>0</v>
      </c>
      <c r="T199" s="33"/>
      <c r="U199" s="35">
        <f t="shared" si="55"/>
        <v>0</v>
      </c>
      <c r="V199" s="32">
        <f t="shared" si="56"/>
        <v>0</v>
      </c>
      <c r="W199" s="32">
        <f t="shared" si="57"/>
        <v>0</v>
      </c>
    </row>
    <row r="200" spans="1:23">
      <c r="A200" s="23">
        <v>195</v>
      </c>
      <c r="B200" s="42" t="s">
        <v>136</v>
      </c>
      <c r="C200" s="3"/>
      <c r="D200" s="15"/>
      <c r="E200" s="51" t="s">
        <v>1</v>
      </c>
      <c r="F200" s="71">
        <v>55</v>
      </c>
      <c r="G200" s="73">
        <v>6.46</v>
      </c>
      <c r="H200" s="73">
        <f t="shared" si="48"/>
        <v>355.3</v>
      </c>
      <c r="I200" s="74">
        <v>0.23</v>
      </c>
      <c r="J200" s="73">
        <f t="shared" si="49"/>
        <v>81.719000000000008</v>
      </c>
      <c r="K200" s="73">
        <f t="shared" si="50"/>
        <v>437.01900000000001</v>
      </c>
      <c r="L200" s="73">
        <f t="shared" si="51"/>
        <v>7.9458000000000002</v>
      </c>
      <c r="M200" s="75">
        <f>10+10+2+5+2+4+2+5+6+6+2+2+2+2+3+2+5+5+5</f>
        <v>80</v>
      </c>
      <c r="N200" s="76">
        <f t="shared" si="52"/>
        <v>635.66399999999999</v>
      </c>
      <c r="O200" s="75">
        <f>10+10+2+5+2+2+4+5+6+2+6+2+2+2+3+2+5+5+5</f>
        <v>80</v>
      </c>
      <c r="P200" s="76">
        <f t="shared" si="53"/>
        <v>635.66399999999999</v>
      </c>
      <c r="Q200" s="75">
        <v>80</v>
      </c>
      <c r="R200" s="32"/>
      <c r="S200" s="32">
        <f t="shared" si="54"/>
        <v>0</v>
      </c>
      <c r="T200" s="33"/>
      <c r="U200" s="35">
        <f t="shared" si="55"/>
        <v>0</v>
      </c>
      <c r="V200" s="32">
        <f t="shared" si="56"/>
        <v>0</v>
      </c>
      <c r="W200" s="32">
        <f t="shared" si="57"/>
        <v>0</v>
      </c>
    </row>
    <row r="201" spans="1:23">
      <c r="A201" s="23">
        <v>196</v>
      </c>
      <c r="B201" s="42" t="s">
        <v>137</v>
      </c>
      <c r="C201" s="3"/>
      <c r="D201" s="22"/>
      <c r="E201" s="51" t="s">
        <v>1</v>
      </c>
      <c r="F201" s="71">
        <v>150</v>
      </c>
      <c r="G201" s="73">
        <v>1.1399999999999999</v>
      </c>
      <c r="H201" s="73">
        <f t="shared" si="48"/>
        <v>170.99999999999997</v>
      </c>
      <c r="I201" s="74">
        <v>0.23</v>
      </c>
      <c r="J201" s="73">
        <f t="shared" si="49"/>
        <v>39.33</v>
      </c>
      <c r="K201" s="73">
        <f t="shared" si="50"/>
        <v>210.32999999999998</v>
      </c>
      <c r="L201" s="73">
        <f t="shared" si="51"/>
        <v>1.4021999999999999</v>
      </c>
      <c r="M201" s="75">
        <f>5+10+2+10+2+10+5+2+4+5+6+1+4+5</f>
        <v>71</v>
      </c>
      <c r="N201" s="76">
        <f t="shared" si="52"/>
        <v>99.55619999999999</v>
      </c>
      <c r="O201" s="75">
        <f>5+10+10+2+2+10+5+2+4+5+6+1+4+4</f>
        <v>70</v>
      </c>
      <c r="P201" s="76">
        <f t="shared" si="53"/>
        <v>98.153999999999996</v>
      </c>
      <c r="Q201" s="75">
        <v>265</v>
      </c>
      <c r="R201" s="32"/>
      <c r="S201" s="32">
        <f t="shared" si="54"/>
        <v>0</v>
      </c>
      <c r="T201" s="33"/>
      <c r="U201" s="35">
        <f t="shared" si="55"/>
        <v>0</v>
      </c>
      <c r="V201" s="32">
        <f t="shared" si="56"/>
        <v>0</v>
      </c>
      <c r="W201" s="32">
        <f t="shared" si="57"/>
        <v>0</v>
      </c>
    </row>
    <row r="202" spans="1:23" ht="30">
      <c r="A202" s="23">
        <v>197</v>
      </c>
      <c r="B202" s="42" t="s">
        <v>177</v>
      </c>
      <c r="C202" s="3"/>
      <c r="D202" s="15"/>
      <c r="E202" s="72" t="s">
        <v>1</v>
      </c>
      <c r="F202" s="71">
        <v>20</v>
      </c>
      <c r="G202" s="73">
        <v>3.34</v>
      </c>
      <c r="H202" s="73">
        <f>F202*G202</f>
        <v>66.8</v>
      </c>
      <c r="I202" s="74">
        <v>0.23</v>
      </c>
      <c r="J202" s="73">
        <f>H202*I202</f>
        <v>15.364000000000001</v>
      </c>
      <c r="K202" s="73">
        <f>H202+J202</f>
        <v>82.164000000000001</v>
      </c>
      <c r="L202" s="73">
        <f t="shared" si="51"/>
        <v>4.1082000000000001</v>
      </c>
      <c r="M202" s="75">
        <f>1+1+5+1+4+1+2+1+2+2+2</f>
        <v>22</v>
      </c>
      <c r="N202" s="76">
        <f t="shared" si="52"/>
        <v>90.380400000000009</v>
      </c>
      <c r="O202" s="75">
        <f>1+1+5+1+1+2+1+2+2</f>
        <v>16</v>
      </c>
      <c r="P202" s="76">
        <f t="shared" si="53"/>
        <v>65.731200000000001</v>
      </c>
      <c r="Q202" s="75">
        <v>25</v>
      </c>
      <c r="R202" s="32"/>
      <c r="S202" s="32">
        <f t="shared" si="54"/>
        <v>0</v>
      </c>
      <c r="T202" s="33"/>
      <c r="U202" s="35">
        <f t="shared" si="55"/>
        <v>0</v>
      </c>
      <c r="V202" s="32">
        <f t="shared" si="56"/>
        <v>0</v>
      </c>
      <c r="W202" s="32">
        <f t="shared" si="57"/>
        <v>0</v>
      </c>
    </row>
    <row r="203" spans="1:23" ht="30">
      <c r="A203" s="23">
        <v>198</v>
      </c>
      <c r="B203" s="42" t="s">
        <v>178</v>
      </c>
      <c r="C203" s="10"/>
      <c r="D203" s="16"/>
      <c r="E203" s="72" t="s">
        <v>1</v>
      </c>
      <c r="F203" s="71">
        <v>60</v>
      </c>
      <c r="G203" s="73">
        <v>7.81</v>
      </c>
      <c r="H203" s="73">
        <f>F203*G203</f>
        <v>468.59999999999997</v>
      </c>
      <c r="I203" s="74">
        <v>0.23</v>
      </c>
      <c r="J203" s="73">
        <f>H203*I203</f>
        <v>107.77799999999999</v>
      </c>
      <c r="K203" s="73">
        <f>H203+J203</f>
        <v>576.37799999999993</v>
      </c>
      <c r="L203" s="73">
        <f t="shared" si="51"/>
        <v>9.6062999999999992</v>
      </c>
      <c r="M203" s="75">
        <f>5+3+2+5+2+1+4+1+5+1+2+1+3</f>
        <v>35</v>
      </c>
      <c r="N203" s="76">
        <f t="shared" si="52"/>
        <v>336.22049999999996</v>
      </c>
      <c r="O203" s="75">
        <f>5+3+5+2+2+1+4+1+1+5+2+1+3</f>
        <v>35</v>
      </c>
      <c r="P203" s="76">
        <f t="shared" si="53"/>
        <v>336.22049999999996</v>
      </c>
      <c r="Q203" s="75">
        <v>35</v>
      </c>
      <c r="R203" s="32"/>
      <c r="S203" s="32">
        <f t="shared" si="54"/>
        <v>0</v>
      </c>
      <c r="T203" s="33"/>
      <c r="U203" s="35">
        <f t="shared" si="55"/>
        <v>0</v>
      </c>
      <c r="V203" s="32">
        <f t="shared" si="56"/>
        <v>0</v>
      </c>
      <c r="W203" s="32">
        <f t="shared" si="57"/>
        <v>0</v>
      </c>
    </row>
    <row r="204" spans="1:23" ht="30">
      <c r="A204" s="23">
        <v>199</v>
      </c>
      <c r="B204" s="42" t="s">
        <v>179</v>
      </c>
      <c r="C204" s="3"/>
      <c r="D204" s="15"/>
      <c r="E204" s="72" t="s">
        <v>1</v>
      </c>
      <c r="F204" s="71">
        <v>8</v>
      </c>
      <c r="G204" s="73">
        <v>26.6</v>
      </c>
      <c r="H204" s="73">
        <f>F204*G204</f>
        <v>212.8</v>
      </c>
      <c r="I204" s="74">
        <v>0.23</v>
      </c>
      <c r="J204" s="73">
        <f>H204*I204</f>
        <v>48.944000000000003</v>
      </c>
      <c r="K204" s="73">
        <f>H204+J204</f>
        <v>261.74400000000003</v>
      </c>
      <c r="L204" s="73">
        <f t="shared" si="51"/>
        <v>32.718000000000004</v>
      </c>
      <c r="M204" s="75">
        <f>1+1+1+1+1+1</f>
        <v>6</v>
      </c>
      <c r="N204" s="76">
        <f t="shared" si="52"/>
        <v>196.30800000000002</v>
      </c>
      <c r="O204" s="75">
        <f>1+1+1+1+1+1</f>
        <v>6</v>
      </c>
      <c r="P204" s="76">
        <f t="shared" si="53"/>
        <v>196.30800000000002</v>
      </c>
      <c r="Q204" s="75">
        <v>20</v>
      </c>
      <c r="R204" s="32"/>
      <c r="S204" s="32">
        <f t="shared" si="54"/>
        <v>0</v>
      </c>
      <c r="T204" s="33"/>
      <c r="U204" s="35">
        <f t="shared" si="55"/>
        <v>0</v>
      </c>
      <c r="V204" s="32">
        <f t="shared" si="56"/>
        <v>0</v>
      </c>
      <c r="W204" s="32">
        <f t="shared" si="57"/>
        <v>0</v>
      </c>
    </row>
    <row r="205" spans="1:23" ht="45">
      <c r="A205" s="23">
        <v>200</v>
      </c>
      <c r="B205" s="42" t="s">
        <v>180</v>
      </c>
      <c r="C205" s="10"/>
      <c r="D205" s="16"/>
      <c r="E205" s="72" t="s">
        <v>1</v>
      </c>
      <c r="F205" s="71">
        <v>5</v>
      </c>
      <c r="G205" s="73">
        <v>21.3</v>
      </c>
      <c r="H205" s="73">
        <f t="shared" si="48"/>
        <v>106.5</v>
      </c>
      <c r="I205" s="74">
        <v>0.23</v>
      </c>
      <c r="J205" s="73">
        <f t="shared" si="49"/>
        <v>24.495000000000001</v>
      </c>
      <c r="K205" s="73">
        <f t="shared" si="50"/>
        <v>130.995</v>
      </c>
      <c r="L205" s="73">
        <f t="shared" si="51"/>
        <v>26.199000000000002</v>
      </c>
      <c r="M205" s="75">
        <f>1+1+1+1</f>
        <v>4</v>
      </c>
      <c r="N205" s="76">
        <f t="shared" si="52"/>
        <v>104.79600000000001</v>
      </c>
      <c r="O205" s="75">
        <f>1+1+1+1</f>
        <v>4</v>
      </c>
      <c r="P205" s="76">
        <f t="shared" si="53"/>
        <v>104.79600000000001</v>
      </c>
      <c r="Q205" s="75">
        <v>5</v>
      </c>
      <c r="R205" s="32"/>
      <c r="S205" s="32">
        <f t="shared" si="54"/>
        <v>0</v>
      </c>
      <c r="T205" s="33"/>
      <c r="U205" s="35">
        <f t="shared" si="55"/>
        <v>0</v>
      </c>
      <c r="V205" s="32">
        <f t="shared" si="56"/>
        <v>0</v>
      </c>
      <c r="W205" s="32">
        <f t="shared" si="57"/>
        <v>0</v>
      </c>
    </row>
    <row r="206" spans="1:23" ht="30">
      <c r="A206" s="23">
        <v>201</v>
      </c>
      <c r="B206" s="42" t="s">
        <v>138</v>
      </c>
      <c r="C206" s="10"/>
      <c r="D206" s="16"/>
      <c r="E206" s="72" t="s">
        <v>2</v>
      </c>
      <c r="F206" s="71">
        <v>8</v>
      </c>
      <c r="G206" s="73">
        <v>17.5</v>
      </c>
      <c r="H206" s="73">
        <f t="shared" si="48"/>
        <v>140</v>
      </c>
      <c r="I206" s="74">
        <v>0.23</v>
      </c>
      <c r="J206" s="73">
        <f t="shared" si="49"/>
        <v>32.200000000000003</v>
      </c>
      <c r="K206" s="73">
        <f t="shared" si="50"/>
        <v>172.2</v>
      </c>
      <c r="L206" s="73">
        <f t="shared" si="51"/>
        <v>21.524999999999999</v>
      </c>
      <c r="M206" s="75">
        <f>2+2</f>
        <v>4</v>
      </c>
      <c r="N206" s="76">
        <f t="shared" si="52"/>
        <v>86.1</v>
      </c>
      <c r="O206" s="75">
        <f>2+2</f>
        <v>4</v>
      </c>
      <c r="P206" s="76">
        <f t="shared" si="53"/>
        <v>86.1</v>
      </c>
      <c r="Q206" s="75">
        <v>5</v>
      </c>
      <c r="R206" s="32"/>
      <c r="S206" s="32">
        <f t="shared" si="54"/>
        <v>0</v>
      </c>
      <c r="T206" s="33"/>
      <c r="U206" s="35">
        <f t="shared" si="55"/>
        <v>0</v>
      </c>
      <c r="V206" s="32">
        <f t="shared" si="56"/>
        <v>0</v>
      </c>
      <c r="W206" s="32">
        <f t="shared" si="57"/>
        <v>0</v>
      </c>
    </row>
    <row r="207" spans="1:23">
      <c r="A207" s="23">
        <v>202</v>
      </c>
      <c r="B207" s="42" t="s">
        <v>139</v>
      </c>
      <c r="C207" s="3"/>
      <c r="D207" s="15"/>
      <c r="E207" s="72" t="s">
        <v>2</v>
      </c>
      <c r="F207" s="71">
        <v>180</v>
      </c>
      <c r="G207" s="73">
        <v>0.4</v>
      </c>
      <c r="H207" s="73">
        <f t="shared" si="48"/>
        <v>72</v>
      </c>
      <c r="I207" s="74">
        <v>0.23</v>
      </c>
      <c r="J207" s="73">
        <f t="shared" si="49"/>
        <v>16.560000000000002</v>
      </c>
      <c r="K207" s="73">
        <f t="shared" si="50"/>
        <v>88.56</v>
      </c>
      <c r="L207" s="73">
        <f t="shared" si="51"/>
        <v>0.49200000000000005</v>
      </c>
      <c r="M207" s="75">
        <f>5+10+10+5+5+5+3+4+4+3+10+2+5+10+10+5+10</f>
        <v>106</v>
      </c>
      <c r="N207" s="76">
        <f t="shared" si="52"/>
        <v>52.152000000000008</v>
      </c>
      <c r="O207" s="75">
        <f>5+10+10+5+5+5+3+4+4+3+10+2+5+5+10+10+10</f>
        <v>106</v>
      </c>
      <c r="P207" s="76">
        <f t="shared" si="53"/>
        <v>52.152000000000008</v>
      </c>
      <c r="Q207" s="75">
        <v>110</v>
      </c>
      <c r="R207" s="32"/>
      <c r="S207" s="32">
        <f t="shared" si="54"/>
        <v>0</v>
      </c>
      <c r="T207" s="33"/>
      <c r="U207" s="35">
        <f t="shared" si="55"/>
        <v>0</v>
      </c>
      <c r="V207" s="32">
        <f t="shared" si="56"/>
        <v>0</v>
      </c>
      <c r="W207" s="32">
        <f t="shared" si="57"/>
        <v>0</v>
      </c>
    </row>
    <row r="208" spans="1:23">
      <c r="A208" s="23">
        <v>203</v>
      </c>
      <c r="B208" s="42" t="s">
        <v>140</v>
      </c>
      <c r="C208" s="3"/>
      <c r="D208" s="15"/>
      <c r="E208" s="72" t="s">
        <v>2</v>
      </c>
      <c r="F208" s="71">
        <v>5</v>
      </c>
      <c r="G208" s="73">
        <v>0.97</v>
      </c>
      <c r="H208" s="73">
        <f t="shared" si="48"/>
        <v>4.8499999999999996</v>
      </c>
      <c r="I208" s="74">
        <v>0.23</v>
      </c>
      <c r="J208" s="73">
        <f t="shared" si="49"/>
        <v>1.1154999999999999</v>
      </c>
      <c r="K208" s="73">
        <f t="shared" si="50"/>
        <v>5.9654999999999996</v>
      </c>
      <c r="L208" s="73">
        <f t="shared" si="51"/>
        <v>1.1931</v>
      </c>
      <c r="M208" s="75">
        <f>5+5+1+4+3+10+5</f>
        <v>33</v>
      </c>
      <c r="N208" s="76">
        <f t="shared" si="52"/>
        <v>39.372300000000003</v>
      </c>
      <c r="O208" s="75">
        <f>5+5+1+4+3+10+5</f>
        <v>33</v>
      </c>
      <c r="P208" s="76">
        <f t="shared" si="53"/>
        <v>39.372300000000003</v>
      </c>
      <c r="Q208" s="75">
        <v>35</v>
      </c>
      <c r="R208" s="32"/>
      <c r="S208" s="32">
        <f t="shared" si="54"/>
        <v>0</v>
      </c>
      <c r="T208" s="33"/>
      <c r="U208" s="35">
        <f t="shared" si="55"/>
        <v>0</v>
      </c>
      <c r="V208" s="32">
        <f t="shared" si="56"/>
        <v>0</v>
      </c>
      <c r="W208" s="32">
        <f t="shared" si="57"/>
        <v>0</v>
      </c>
    </row>
    <row r="209" spans="1:23">
      <c r="A209" s="23">
        <v>204</v>
      </c>
      <c r="B209" s="42" t="s">
        <v>141</v>
      </c>
      <c r="C209" s="3"/>
      <c r="D209" s="15"/>
      <c r="E209" s="72" t="s">
        <v>2</v>
      </c>
      <c r="F209" s="71">
        <v>35</v>
      </c>
      <c r="G209" s="73">
        <v>0.53</v>
      </c>
      <c r="H209" s="73">
        <f t="shared" si="48"/>
        <v>18.55</v>
      </c>
      <c r="I209" s="74">
        <v>0.23</v>
      </c>
      <c r="J209" s="73">
        <f t="shared" si="49"/>
        <v>4.2665000000000006</v>
      </c>
      <c r="K209" s="73">
        <f t="shared" si="50"/>
        <v>22.816500000000001</v>
      </c>
      <c r="L209" s="73">
        <f t="shared" si="51"/>
        <v>0.65190000000000003</v>
      </c>
      <c r="M209" s="75">
        <f>5+10+5+3+5+1+4+3+10+5</f>
        <v>51</v>
      </c>
      <c r="N209" s="76">
        <f t="shared" si="52"/>
        <v>33.246900000000004</v>
      </c>
      <c r="O209" s="75">
        <f>5+10+3+5+5+1+4+3+10+5</f>
        <v>51</v>
      </c>
      <c r="P209" s="76">
        <f t="shared" si="53"/>
        <v>33.246900000000004</v>
      </c>
      <c r="Q209" s="75">
        <v>55</v>
      </c>
      <c r="R209" s="32"/>
      <c r="S209" s="32">
        <f t="shared" si="54"/>
        <v>0</v>
      </c>
      <c r="T209" s="33"/>
      <c r="U209" s="35">
        <f t="shared" si="55"/>
        <v>0</v>
      </c>
      <c r="V209" s="32">
        <f t="shared" si="56"/>
        <v>0</v>
      </c>
      <c r="W209" s="32">
        <f t="shared" si="57"/>
        <v>0</v>
      </c>
    </row>
    <row r="210" spans="1:23">
      <c r="A210" s="23">
        <v>205</v>
      </c>
      <c r="B210" s="42" t="s">
        <v>142</v>
      </c>
      <c r="C210" s="3"/>
      <c r="D210" s="15"/>
      <c r="E210" s="72" t="s">
        <v>2</v>
      </c>
      <c r="F210" s="71">
        <v>80</v>
      </c>
      <c r="G210" s="73">
        <v>0.39</v>
      </c>
      <c r="H210" s="73">
        <f t="shared" si="48"/>
        <v>31.200000000000003</v>
      </c>
      <c r="I210" s="74">
        <v>0.23</v>
      </c>
      <c r="J210" s="73">
        <f t="shared" si="49"/>
        <v>7.176000000000001</v>
      </c>
      <c r="K210" s="73">
        <f t="shared" si="50"/>
        <v>38.376000000000005</v>
      </c>
      <c r="L210" s="73">
        <f t="shared" si="51"/>
        <v>0.47970000000000002</v>
      </c>
      <c r="M210" s="75">
        <f>10+5+1+4+10+5+30+1+10</f>
        <v>76</v>
      </c>
      <c r="N210" s="76">
        <f t="shared" si="52"/>
        <v>36.4572</v>
      </c>
      <c r="O210" s="75">
        <f>10+1+4+10+5+30+1+10</f>
        <v>71</v>
      </c>
      <c r="P210" s="76">
        <f t="shared" si="53"/>
        <v>34.058700000000002</v>
      </c>
      <c r="Q210" s="75">
        <v>130</v>
      </c>
      <c r="R210" s="32"/>
      <c r="S210" s="32">
        <f t="shared" si="54"/>
        <v>0</v>
      </c>
      <c r="T210" s="33"/>
      <c r="U210" s="35">
        <f t="shared" si="55"/>
        <v>0</v>
      </c>
      <c r="V210" s="32">
        <f t="shared" si="56"/>
        <v>0</v>
      </c>
      <c r="W210" s="32">
        <f t="shared" si="57"/>
        <v>0</v>
      </c>
    </row>
    <row r="211" spans="1:23" ht="15" customHeight="1">
      <c r="A211" s="83" t="s">
        <v>143</v>
      </c>
      <c r="B211" s="84"/>
      <c r="C211" s="84"/>
      <c r="D211" s="84"/>
      <c r="E211" s="84"/>
      <c r="F211" s="84"/>
      <c r="G211" s="84"/>
      <c r="H211" s="84"/>
      <c r="I211" s="84"/>
      <c r="J211" s="84"/>
      <c r="K211" s="84"/>
      <c r="L211" s="84"/>
      <c r="M211" s="84"/>
      <c r="N211" s="84"/>
      <c r="O211" s="84"/>
      <c r="P211" s="84"/>
      <c r="Q211" s="84"/>
      <c r="R211" s="85"/>
      <c r="S211" s="34">
        <f>SUM(S6:S210)</f>
        <v>0</v>
      </c>
      <c r="T211" s="31"/>
      <c r="U211" s="34">
        <f>SUM(U6:U210)</f>
        <v>0</v>
      </c>
      <c r="V211" s="31"/>
      <c r="W211" s="34">
        <f>SUM(W6:W210)</f>
        <v>0</v>
      </c>
    </row>
    <row r="212" spans="1:23">
      <c r="M212" s="28" t="s">
        <v>166</v>
      </c>
      <c r="N212" s="29" t="e">
        <f>K213-N211</f>
        <v>#REF!</v>
      </c>
      <c r="W212" s="1"/>
    </row>
    <row r="213" spans="1:23">
      <c r="G213" t="s">
        <v>160</v>
      </c>
      <c r="H213" s="27" t="e">
        <f>H211+#REF!</f>
        <v>#REF!</v>
      </c>
      <c r="I213" s="27"/>
      <c r="J213" s="27" t="e">
        <f>J211+#REF!</f>
        <v>#REF!</v>
      </c>
      <c r="K213" s="27" t="e">
        <f>K211+#REF!</f>
        <v>#REF!</v>
      </c>
      <c r="L213" s="1"/>
    </row>
    <row r="214" spans="1:23">
      <c r="N214" s="1" t="e">
        <f>K211*#REF!+K211</f>
        <v>#REF!</v>
      </c>
      <c r="T214" s="1"/>
      <c r="U214" s="1"/>
    </row>
    <row r="215" spans="1:23">
      <c r="S215" s="50" t="s">
        <v>238</v>
      </c>
      <c r="T215" s="50"/>
      <c r="U215" s="50"/>
      <c r="V215" s="50"/>
    </row>
    <row r="216" spans="1:23">
      <c r="T216" s="1"/>
      <c r="U216" s="1"/>
    </row>
  </sheetData>
  <mergeCells count="28">
    <mergeCell ref="S215:V215"/>
    <mergeCell ref="Q2:W2"/>
    <mergeCell ref="Q3:Q4"/>
    <mergeCell ref="R3:R4"/>
    <mergeCell ref="S3:S4"/>
    <mergeCell ref="T3:T4"/>
    <mergeCell ref="V3:V4"/>
    <mergeCell ref="W3:W4"/>
    <mergeCell ref="U3:U4"/>
    <mergeCell ref="K3:K4"/>
    <mergeCell ref="A2:K2"/>
    <mergeCell ref="A3:A4"/>
    <mergeCell ref="B3:B4"/>
    <mergeCell ref="C3:D3"/>
    <mergeCell ref="E3:E4"/>
    <mergeCell ref="F3:F4"/>
    <mergeCell ref="G3:G4"/>
    <mergeCell ref="H3:H4"/>
    <mergeCell ref="I3:I4"/>
    <mergeCell ref="J3:J4"/>
    <mergeCell ref="A211:R211"/>
    <mergeCell ref="P3:P4"/>
    <mergeCell ref="L3:L4"/>
    <mergeCell ref="M2:N2"/>
    <mergeCell ref="O2:P2"/>
    <mergeCell ref="M3:M4"/>
    <mergeCell ref="N3:N4"/>
    <mergeCell ref="O3:O4"/>
  </mergeCells>
  <pageMargins left="0.70866141732283472" right="0.70866141732283472" top="0.74803149606299213" bottom="0.74803149606299213" header="0.31496062992125984" footer="0.31496062992125984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cenowy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Krzysztof Antczak</cp:lastModifiedBy>
  <cp:lastPrinted>2025-01-02T10:18:51Z</cp:lastPrinted>
  <dcterms:created xsi:type="dcterms:W3CDTF">2022-08-29T11:02:35Z</dcterms:created>
  <dcterms:modified xsi:type="dcterms:W3CDTF">2025-01-27T10:41:12Z</dcterms:modified>
</cp:coreProperties>
</file>