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nwestycje DT\INWESTYCJE 2025\Inwestycje własne 2025\SOKOŁA\PRZETARG\"/>
    </mc:Choice>
  </mc:AlternateContent>
  <xr:revisionPtr revIDLastSave="0" documentId="13_ncr:1_{8E04A5FA-99AE-4811-AA3B-C905CC5BC1C7}" xr6:coauthVersionLast="47" xr6:coauthVersionMax="47" xr10:uidLastSave="{00000000-0000-0000-0000-000000000000}"/>
  <bookViews>
    <workbookView xWindow="-120" yWindow="-120" windowWidth="29040" windowHeight="15990" autoFilterDateGrouping="0" xr2:uid="{B2188F64-1669-45A0-AEC4-2D0EF79DD399}"/>
  </bookViews>
  <sheets>
    <sheet name="PRZEDMIAR" sheetId="1" r:id="rId1"/>
  </sheets>
  <definedNames>
    <definedName name="_xlnm.Print_Area" localSheetId="0">PRZEDMIAR!$A$1:$J$95</definedName>
  </definedNames>
  <calcPr calcId="181029"/>
</workbook>
</file>

<file path=xl/calcChain.xml><?xml version="1.0" encoding="utf-8"?>
<calcChain xmlns="http://schemas.openxmlformats.org/spreadsheetml/2006/main">
  <c r="H101" i="1" l="1"/>
  <c r="H58" i="1"/>
  <c r="H67" i="1"/>
  <c r="H85" i="1"/>
  <c r="H100" i="1"/>
  <c r="H99" i="1"/>
  <c r="H98" i="1"/>
  <c r="H92" i="1"/>
  <c r="H90" i="1"/>
  <c r="H89" i="1"/>
  <c r="H88" i="1"/>
  <c r="H87" i="1"/>
  <c r="H86" i="1"/>
  <c r="H83" i="1"/>
  <c r="H66" i="1"/>
  <c r="H38" i="1"/>
  <c r="H37" i="1"/>
  <c r="H36" i="1"/>
  <c r="H35" i="1"/>
  <c r="H33" i="1"/>
  <c r="H32" i="1"/>
  <c r="H26" i="1"/>
  <c r="H25" i="1"/>
  <c r="E58" i="1"/>
  <c r="E53" i="1"/>
  <c r="E54" i="1" s="1"/>
  <c r="E55" i="1" s="1"/>
  <c r="H55" i="1" s="1"/>
  <c r="E52" i="1"/>
  <c r="H52" i="1" s="1"/>
  <c r="E50" i="1"/>
  <c r="E51" i="1" s="1"/>
  <c r="H51" i="1" s="1"/>
  <c r="E81" i="1"/>
  <c r="H81" i="1" s="1"/>
  <c r="E78" i="1"/>
  <c r="H78" i="1" s="1"/>
  <c r="E49" i="1"/>
  <c r="H49" i="1" s="1"/>
  <c r="E70" i="1"/>
  <c r="H70" i="1" s="1"/>
  <c r="E69" i="1"/>
  <c r="H69" i="1" s="1"/>
  <c r="E68" i="1"/>
  <c r="H68" i="1" s="1"/>
  <c r="E84" i="1"/>
  <c r="H84" i="1" s="1"/>
  <c r="E80" i="1"/>
  <c r="H80" i="1" s="1"/>
  <c r="E82" i="1"/>
  <c r="H82" i="1" s="1"/>
  <c r="E79" i="1"/>
  <c r="H79" i="1" s="1"/>
  <c r="E77" i="1"/>
  <c r="E41" i="1"/>
  <c r="H41" i="1" s="1"/>
  <c r="E40" i="1"/>
  <c r="H40" i="1" s="1"/>
  <c r="H50" i="1" l="1"/>
  <c r="H53" i="1"/>
  <c r="H77" i="1"/>
  <c r="H54" i="1"/>
  <c r="E60" i="1"/>
  <c r="H60" i="1" s="1"/>
  <c r="E56" i="1"/>
  <c r="E64" i="1"/>
  <c r="H64" i="1" s="1"/>
  <c r="E72" i="1"/>
  <c r="H72" i="1" s="1"/>
  <c r="E65" i="1"/>
  <c r="H65" i="1" s="1"/>
  <c r="E93" i="1"/>
  <c r="H93" i="1" s="1"/>
  <c r="E91" i="1"/>
  <c r="H91" i="1" s="1"/>
  <c r="E27" i="1"/>
  <c r="H27" i="1" s="1"/>
  <c r="E34" i="1"/>
  <c r="E31" i="1"/>
  <c r="H31" i="1" s="1"/>
  <c r="E57" i="1" l="1"/>
  <c r="H57" i="1" s="1"/>
  <c r="H56" i="1"/>
  <c r="E16" i="1"/>
  <c r="H16" i="1" s="1"/>
  <c r="H34" i="1"/>
  <c r="E21" i="1"/>
  <c r="H21" i="1" s="1"/>
  <c r="E61" i="1"/>
  <c r="H61" i="1" s="1"/>
  <c r="E73" i="1"/>
  <c r="H73" i="1" s="1"/>
  <c r="E15" i="1"/>
  <c r="H15" i="1" s="1"/>
  <c r="E95" i="1"/>
  <c r="H95" i="1" s="1"/>
  <c r="E94" i="1"/>
  <c r="H94" i="1" s="1"/>
  <c r="E19" i="1"/>
  <c r="H19" i="1" s="1"/>
  <c r="E17" i="1"/>
  <c r="E43" i="1"/>
  <c r="E8" i="1"/>
  <c r="H8" i="1" s="1"/>
  <c r="E28" i="1"/>
  <c r="H28" i="1" s="1"/>
  <c r="E29" i="1"/>
  <c r="H29" i="1" s="1"/>
  <c r="E42" i="1"/>
  <c r="E39" i="1"/>
  <c r="H39" i="1" s="1"/>
  <c r="E45" i="1" l="1"/>
  <c r="H45" i="1" s="1"/>
  <c r="H43" i="1"/>
  <c r="H17" i="1"/>
  <c r="E18" i="1"/>
  <c r="H18" i="1" s="1"/>
  <c r="E9" i="1"/>
  <c r="H9" i="1" s="1"/>
  <c r="H42" i="1"/>
  <c r="E23" i="1"/>
  <c r="E62" i="1"/>
  <c r="E22" i="1"/>
  <c r="H22" i="1" s="1"/>
  <c r="E44" i="1"/>
  <c r="H44" i="1" s="1"/>
  <c r="J95" i="1"/>
  <c r="J9" i="1"/>
  <c r="J12" i="1"/>
  <c r="J11" i="1"/>
  <c r="J10" i="1"/>
  <c r="J100" i="1"/>
  <c r="J99" i="1"/>
  <c r="J98" i="1"/>
  <c r="J94" i="1"/>
  <c r="J93" i="1"/>
  <c r="J92" i="1"/>
  <c r="J91" i="1"/>
  <c r="J90" i="1"/>
  <c r="J89" i="1"/>
  <c r="J86" i="1"/>
  <c r="J85" i="1"/>
  <c r="J84" i="1"/>
  <c r="J79" i="1"/>
  <c r="J75" i="1"/>
  <c r="J74" i="1"/>
  <c r="J73" i="1"/>
  <c r="J72" i="1"/>
  <c r="J70" i="1"/>
  <c r="J69" i="1"/>
  <c r="J68" i="1"/>
  <c r="J67" i="1"/>
  <c r="J66" i="1"/>
  <c r="J65" i="1"/>
  <c r="J64" i="1"/>
  <c r="J63" i="1"/>
  <c r="J62" i="1"/>
  <c r="J61" i="1"/>
  <c r="J60" i="1"/>
  <c r="J58" i="1"/>
  <c r="J57" i="1"/>
  <c r="J56" i="1"/>
  <c r="J51" i="1"/>
  <c r="J50" i="1"/>
  <c r="J49" i="1"/>
  <c r="J45" i="1"/>
  <c r="J44" i="1"/>
  <c r="J43" i="1"/>
  <c r="J42" i="1"/>
  <c r="J41" i="1"/>
  <c r="J40" i="1"/>
  <c r="J39" i="1"/>
  <c r="J38" i="1"/>
  <c r="J37" i="1"/>
  <c r="J34" i="1"/>
  <c r="J33" i="1"/>
  <c r="J32" i="1"/>
  <c r="J31" i="1"/>
  <c r="J29" i="1"/>
  <c r="J28" i="1"/>
  <c r="J27" i="1"/>
  <c r="J26" i="1"/>
  <c r="J25" i="1"/>
  <c r="J23" i="1"/>
  <c r="J22" i="1"/>
  <c r="J21" i="1"/>
  <c r="J19" i="1"/>
  <c r="J17" i="1"/>
  <c r="J16" i="1"/>
  <c r="J15" i="1"/>
  <c r="E10" i="1" l="1"/>
  <c r="H10" i="1" s="1"/>
  <c r="E63" i="1"/>
  <c r="H62" i="1"/>
  <c r="E24" i="1"/>
  <c r="H24" i="1" s="1"/>
  <c r="H23" i="1"/>
  <c r="E12" i="1"/>
  <c r="E11" i="1"/>
  <c r="H11" i="1" s="1"/>
  <c r="J13" i="1"/>
  <c r="J7" i="1" s="1"/>
  <c r="J14" i="1"/>
  <c r="J48" i="1"/>
  <c r="J71" i="1"/>
  <c r="J30" i="1"/>
  <c r="J59" i="1"/>
  <c r="J97" i="1"/>
  <c r="J96" i="1" s="1"/>
  <c r="J20" i="1"/>
  <c r="J76" i="1"/>
  <c r="E13" i="1" l="1"/>
  <c r="H13" i="1" s="1"/>
  <c r="H12" i="1"/>
  <c r="E74" i="1"/>
  <c r="H63" i="1"/>
  <c r="J47" i="1"/>
  <c r="J6" i="1"/>
  <c r="E75" i="1" l="1"/>
  <c r="H75" i="1" s="1"/>
  <c r="H74" i="1"/>
  <c r="J101" i="1"/>
  <c r="J102" i="1" l="1"/>
  <c r="J103" i="1" s="1"/>
  <c r="H102" i="1" l="1"/>
  <c r="H103" i="1" s="1"/>
</calcChain>
</file>

<file path=xl/sharedStrings.xml><?xml version="1.0" encoding="utf-8"?>
<sst xmlns="http://schemas.openxmlformats.org/spreadsheetml/2006/main" count="424" uniqueCount="256">
  <si>
    <t/>
  </si>
  <si>
    <t>Numer</t>
  </si>
  <si>
    <t>Podstawa</t>
  </si>
  <si>
    <t>Opis</t>
  </si>
  <si>
    <t>Jedn.</t>
  </si>
  <si>
    <t>Ilość</t>
  </si>
  <si>
    <t>Krotn.</t>
  </si>
  <si>
    <t>1</t>
  </si>
  <si>
    <t>Rozdział</t>
  </si>
  <si>
    <t>Rozdział 1</t>
  </si>
  <si>
    <t>Grupa</t>
  </si>
  <si>
    <t>1.1</t>
  </si>
  <si>
    <t>Remont  sieci wodociagowej</t>
  </si>
  <si>
    <t>Element</t>
  </si>
  <si>
    <t>1.1.1</t>
  </si>
  <si>
    <t>Rozbiórka elementów dróg i ulic SST. 0.00,SST.1.00</t>
  </si>
  <si>
    <t>KNKRB 6/806/2</t>
  </si>
  <si>
    <t>m</t>
  </si>
  <si>
    <t>1.1.1.2</t>
  </si>
  <si>
    <t>1.1.1.3</t>
  </si>
  <si>
    <t>KNR 231/803/4</t>
  </si>
  <si>
    <t>1.1.1.4</t>
  </si>
  <si>
    <t>KNR 231/805/1</t>
  </si>
  <si>
    <t>KNR 404/1103/4</t>
  </si>
  <si>
    <t>Wywiezienie gruzu z terenu rozbiórki przy mechanicznym załadowaniu i wyładowaniu, transport samochodem samowyładowczym na odległość 1 km</t>
  </si>
  <si>
    <t>KNR 404/1103/5</t>
  </si>
  <si>
    <t>Wywiezienie gruzu z terenu rozbiórki przy mechanicznym załadowaniu i wyładowaniu, nakłądy uzupełniające na każdy dalszy rozpoczęty 1·km ponad 1·km transportu do 3-ch km</t>
  </si>
  <si>
    <t>1.1.2</t>
  </si>
  <si>
    <t>Wykopy SST.0.00, SST.2.00</t>
  </si>
  <si>
    <t>1.1.2.1</t>
  </si>
  <si>
    <t>KNNR 1/111/2</t>
  </si>
  <si>
    <t>km</t>
  </si>
  <si>
    <t>Roboty pomiarowe przy liniowych robotach ziemnych, trasa dróg w terenie pagórkowatym lub górskim</t>
  </si>
  <si>
    <t>1.1.2.2</t>
  </si>
  <si>
    <t>KNNR 1/210/3 (2)</t>
  </si>
  <si>
    <t>Wykopy oraz przekopy wykonywane na odkład koparkami podsiębiernymi, koparka 0,25-0,60, głębokość do 3·m, kategoria gruntu III-IV</t>
  </si>
  <si>
    <t>KNNR 1/202/6</t>
  </si>
  <si>
    <t>Roboty ziemne wykonywane koparkami podsiębiernymi, z transportem urobku samochodami samowyładowczymi na odległość do 1·km, koparka 0,40 m3, kategoria  gruntu III-IV</t>
  </si>
  <si>
    <t>KNNR 1/208/2 (1)</t>
  </si>
  <si>
    <t>1.1.2.5</t>
  </si>
  <si>
    <t>KNNR 1/307/4</t>
  </si>
  <si>
    <t>KNNR 1/313/1</t>
  </si>
  <si>
    <t>Umocnienie ścian wykopów wraz z rozbiórką palami szalunkowymi stalowymi (wypraskami) w gruntach suchych, szerokość do 1·m, umocnienie pełne w gruncie kategorii I-IV, głębokość do 3·m - szalunki stalowe</t>
  </si>
  <si>
    <t>1.1.3</t>
  </si>
  <si>
    <t>Zasypki, podsypki i obsypki SST 0.00 ,SST 2.00</t>
  </si>
  <si>
    <t>1.1.3.1</t>
  </si>
  <si>
    <t>KNR 228/501/9 (1)</t>
  </si>
  <si>
    <t>1.1.3.2</t>
  </si>
  <si>
    <t>KNR 201/320/5 (1)</t>
  </si>
  <si>
    <t>Ręczne zasypywanie wykopów liniowych o ścianach pionowych, głębokość do 3.0·m, kategoria gruntu III-IV, szerokość wykopu 0.8-1.5·m</t>
  </si>
  <si>
    <t>1.1.3.3</t>
  </si>
  <si>
    <t>KNR 201/236/2</t>
  </si>
  <si>
    <t>Zagęszczanie nasypów, ubijakami mechanicznymi, grunt spoisty kategorii III-IV</t>
  </si>
  <si>
    <t>1.1.3.7</t>
  </si>
  <si>
    <t>KNRW 218/903/1</t>
  </si>
  <si>
    <t>kpl</t>
  </si>
  <si>
    <t>Montaż i demontaż konstrukcji podwieszeń rurociągów i kanałów, montaż: rozpiętość 4,0·m</t>
  </si>
  <si>
    <t>1.1.3.8</t>
  </si>
  <si>
    <t>KNRW 218/903/6</t>
  </si>
  <si>
    <t>Montaż i demontaż konstrukcji podwieszeń rurociągów i kanałów, demontaż: rozpiętość 4,0·m</t>
  </si>
  <si>
    <t>KNRW 218/901/1</t>
  </si>
  <si>
    <t>Montaż i demontaż konstrukcji podwieszeń kabli energetycznych i telekomunikacyjnych, typ lekki, montaż: rozpiętość 4,0·m</t>
  </si>
  <si>
    <t>KNRW 218/901/6</t>
  </si>
  <si>
    <t>Montaż i demontaż konstrukcji podwieszeń kabli energetycznych i telekomunikacyjnych, typ lekki, demontaż: rozpiętość 4,0·m</t>
  </si>
  <si>
    <t>KNNR 5/113/1</t>
  </si>
  <si>
    <t>Rury ochronne, z PVC, do Fi 80·mm -zabzpieczenie kabli rurami Arota</t>
  </si>
  <si>
    <t>1.1.4</t>
  </si>
  <si>
    <t>Sieci wodociągowe SST.0.00, SST. 3.00</t>
  </si>
  <si>
    <t>1.1.4.1</t>
  </si>
  <si>
    <t>KNNR 8/107/2</t>
  </si>
  <si>
    <t>1.1.4.2</t>
  </si>
  <si>
    <t>KNNR 8/120/2</t>
  </si>
  <si>
    <t>szt</t>
  </si>
  <si>
    <t>1.1.4.3</t>
  </si>
  <si>
    <t>Kalkulacja indywidualna</t>
  </si>
  <si>
    <t>1.1.4.4</t>
  </si>
  <si>
    <t>KNNR 4/1112/2 (2)</t>
  </si>
  <si>
    <t>1.1.4.7</t>
  </si>
  <si>
    <t>KNNR 4/1009/4 (1)</t>
  </si>
  <si>
    <t>1.1.4.10</t>
  </si>
  <si>
    <t>KNNR 4/1014/3</t>
  </si>
  <si>
    <t>1.1.4.12</t>
  </si>
  <si>
    <t>1.1.4.13</t>
  </si>
  <si>
    <t>1.1.4.14</t>
  </si>
  <si>
    <t>1.1.4.15</t>
  </si>
  <si>
    <t>KNR 228/305/3 (3)</t>
  </si>
  <si>
    <t>złącze</t>
  </si>
  <si>
    <t>KNNR 4/1010/4 (2)</t>
  </si>
  <si>
    <t>Połączenie rur polietylenowych, ciśnieniowych PE, PEHD metodą zgrzewania czołowego, Fi 110·mm, z agregatem</t>
  </si>
  <si>
    <t>KNNR 4/1407/1</t>
  </si>
  <si>
    <t>Deskowanie ław fundamentowych anlogia deskowanie bloków oprowych</t>
  </si>
  <si>
    <t>KNNR 4/1408/1</t>
  </si>
  <si>
    <t>Układanie mieszanki betonowej w konstrukcjach, ręcznie, transport japonkami: ławy, bloki oporowe</t>
  </si>
  <si>
    <t>KNR 219/219/1</t>
  </si>
  <si>
    <t>KNNR 4/1612/1</t>
  </si>
  <si>
    <t>odcinek</t>
  </si>
  <si>
    <t>Jednokrotne płukanie sieci wodociągowej, (rurociąg 200·m) Dn·do 150·mm</t>
  </si>
  <si>
    <t>KNNR 4/1611/1</t>
  </si>
  <si>
    <t>Dezynfekcja rurociągów sieci wodociągowej, (rurociąg 200·m) Dn·do 150·mm</t>
  </si>
  <si>
    <t>próba</t>
  </si>
  <si>
    <t>KNNR 4/1606/1</t>
  </si>
  <si>
    <t>Próba wodna szczelności sieci wodociągowych z rur typu HOBAS, PCW, PVC, PE, PEHD, (rurociąg 200·m) Dn·90-110·mm</t>
  </si>
  <si>
    <t>2</t>
  </si>
  <si>
    <t>Rozdział 2</t>
  </si>
  <si>
    <t>2.1</t>
  </si>
  <si>
    <t>Wymiana przyłączy wodociagowych</t>
  </si>
  <si>
    <t>2.1.1</t>
  </si>
  <si>
    <t>Rozbiórka elementów dróg i ulic SST.0.00, SST.1.00</t>
  </si>
  <si>
    <t>2.1.1.1</t>
  </si>
  <si>
    <t>Rozebranie krawężników betonowych podsypka cementowo - piask.,obrzeża pod krawężniki</t>
  </si>
  <si>
    <t>2.1.1.2</t>
  </si>
  <si>
    <t>2.1.1.3</t>
  </si>
  <si>
    <t>KNNR 6/802/1</t>
  </si>
  <si>
    <t>Rozebranie nawierzchni, tłuczeń grubość 15·cm, ręcznie</t>
  </si>
  <si>
    <t>2.1.1.4</t>
  </si>
  <si>
    <t>2.1.1.5</t>
  </si>
  <si>
    <t>Wywiezienie gruzu z terenu rozbiórki przy mechanicznym załadowaniu i wyładowaniu, nakłądy uzupełniające na każdy dalszy rozpoczęty 1·km ponad 1·km transportu</t>
  </si>
  <si>
    <t>2.1.1.6</t>
  </si>
  <si>
    <t>2.1.2</t>
  </si>
  <si>
    <t>2.1.2.1</t>
  </si>
  <si>
    <t>2.1.2.2</t>
  </si>
  <si>
    <t>2.1.2.3</t>
  </si>
  <si>
    <t>Nakłady uzupełniające do tablic za każdy dalszy rozpoczęty 1 km odległości transportu ponad 1 km samochodami samowyładowczymi, drogi o nawierzchni utwardzonej, kategoria  gruntu I-IV, samochód do 5·t do 2-ch km</t>
  </si>
  <si>
    <t>2.1.2.4</t>
  </si>
  <si>
    <t>KNNR 1/210/3 (1)</t>
  </si>
  <si>
    <t>2.1.2.5</t>
  </si>
  <si>
    <t>2.1.2.6</t>
  </si>
  <si>
    <t>2.1.2.7</t>
  </si>
  <si>
    <t>2.1.2.8</t>
  </si>
  <si>
    <t>2.1.2.9</t>
  </si>
  <si>
    <t>2.1.2.10</t>
  </si>
  <si>
    <t>2.1.2.11</t>
  </si>
  <si>
    <t>Rury ochronne, z PVC, do Fi 80·mm analogia zabezpieczenie kabli rurami arota</t>
  </si>
  <si>
    <t>2.1.3</t>
  </si>
  <si>
    <t>2.1.3.1</t>
  </si>
  <si>
    <t>Obsypka rurociągu kruszywem dowiezionym, piasek</t>
  </si>
  <si>
    <t>2.1.3.2</t>
  </si>
  <si>
    <t>2.1.3.3</t>
  </si>
  <si>
    <t>KNR 201/230/2 (2)</t>
  </si>
  <si>
    <t>Zasypywanie wykopów spycharkami, przemieszczanie na odległość do 10·m, grunt kategorii IV, spycharka 74·kW (100·KM)</t>
  </si>
  <si>
    <t>2.1.3.4</t>
  </si>
  <si>
    <t>2.1.4</t>
  </si>
  <si>
    <t>Przyłącza wodociagowe - roboty montażowe SST 0.00,SST.3.00</t>
  </si>
  <si>
    <t>2.1.4.1</t>
  </si>
  <si>
    <t>KNR 218/907/2</t>
  </si>
  <si>
    <t>2.1.4.2</t>
  </si>
  <si>
    <t>2.1.4.3</t>
  </si>
  <si>
    <t>2.1.4.5</t>
  </si>
  <si>
    <t>KNNR 4/1702/2 (1)</t>
  </si>
  <si>
    <t>2.1.4.6</t>
  </si>
  <si>
    <t>2.1.4.7</t>
  </si>
  <si>
    <t>KNR 401/208/12</t>
  </si>
  <si>
    <t>Przebicie otworów w elementach z betonu o powierzchni do 0,05·m2, beton żużlowy, grubość do 40·cm</t>
  </si>
  <si>
    <t>2.1.4.8</t>
  </si>
  <si>
    <t>KNR 401/206/2</t>
  </si>
  <si>
    <t>Zabetonowanie otworów w stropach i ścianach, otwory do 0,1·m2, głębokość ponad 10·cm</t>
  </si>
  <si>
    <t>2.1.4.9</t>
  </si>
  <si>
    <t>2.1.4.10</t>
  </si>
  <si>
    <t>2.1.4.11</t>
  </si>
  <si>
    <t>Oznakowanie trasy wodociagu  ułożonego w ziemi taśmą z tworzywa sztucznego   (R=  0,955, M=  1,000, S=  1,000)</t>
  </si>
  <si>
    <t>2.1.4.12</t>
  </si>
  <si>
    <t>2.1.4.13</t>
  </si>
  <si>
    <t>KNR 218/802/1 (2)</t>
  </si>
  <si>
    <t>Próba szczelności sieci wodociągowych, rurociąg do Dn·100·mm, rury PVC (odcinek 200·m) DN 75</t>
  </si>
  <si>
    <t>3</t>
  </si>
  <si>
    <t>3.1</t>
  </si>
  <si>
    <t>3.1.1</t>
  </si>
  <si>
    <t>3.1.2</t>
  </si>
  <si>
    <t>3.1.3</t>
  </si>
  <si>
    <t>kpl.</t>
  </si>
  <si>
    <t>Koszt pomiarów geodezyjnych</t>
  </si>
  <si>
    <t>koszt dostarczenia wody na czas prowadzenia robót , baypasy, powiadomienie mieszkanców</t>
  </si>
  <si>
    <t>Organizacja ruchu i zajecie pasa drogowego</t>
  </si>
  <si>
    <t>xxx</t>
  </si>
  <si>
    <t>WARTOŚĆ KOSZTORYSU NETTO</t>
  </si>
  <si>
    <t>PODATEK VAT</t>
  </si>
  <si>
    <t>WARTOŚĆ KOSZTORYSU BRUTTO</t>
  </si>
  <si>
    <t>Rozebranie nawierzchni z mieszanek mineralno-bitumicznych, mechanicznie, dodatek za każdy dalszy 1·cm</t>
  </si>
  <si>
    <t>wartość: zł
Jasia</t>
  </si>
  <si>
    <t>cena jedn. zł
Jasia</t>
  </si>
  <si>
    <t>wartość
/ zł/</t>
  </si>
  <si>
    <t>cena jedn.
 /zł/</t>
  </si>
  <si>
    <t xml:space="preserve">Rozdział 3 </t>
  </si>
  <si>
    <t>Roboty towarzyszące</t>
  </si>
  <si>
    <t>Demontaż rurociągu żeliwnego ciśnieniowego kielichowego  w wykopie, Fi·100·mm</t>
  </si>
  <si>
    <t>Demontaż zasuwy żeliwnej w wykopie, zasuwa kielichowa, Fi·100</t>
  </si>
  <si>
    <t xml:space="preserve">Montaż rurociągów z rur polietylenowych  PEHD Fi·110·mm PN 10 </t>
  </si>
  <si>
    <t>Zasuwa typu "E" kołnierzowa z obudową montowana na rurociągach PE, Fi·100·mm</t>
  </si>
  <si>
    <t>Oznakowanie trasy wodociagu  ułożonego w ziemi taśmą z tworzywa sztucznego z wkładką metalową   (R=  0,955, M=  1,000, S=  1,000)</t>
  </si>
  <si>
    <t>KNNR 5/721/1</t>
  </si>
  <si>
    <t>Cięcie nawierzchni mechanicznie, z mas mineralno-asfaltowych, głębokość 5·cm</t>
  </si>
  <si>
    <t>KNNR 6/801/2</t>
  </si>
  <si>
    <t>Połączenie rurociągu PEHD DN110 z trójnikiem rurociągu PE DN110 w ul. Szkolnej</t>
  </si>
  <si>
    <t>Połączenie rurociągu PEHD DN110 z trójnikiem rurociągu żeliwnego DN300 w ul.Kolejowej</t>
  </si>
  <si>
    <t xml:space="preserve">Kształtki PE na rurociągach PE, Fi·110·mm, łuki </t>
  </si>
  <si>
    <t>Podsypka,obsypka rurociągu kruszywem dowiezionym, piasek (50 cm)</t>
  </si>
  <si>
    <t>1.1.1.1</t>
  </si>
  <si>
    <t>1.1.1.5</t>
  </si>
  <si>
    <t>1.1.1.6</t>
  </si>
  <si>
    <t>1.1.3.4</t>
  </si>
  <si>
    <t>1.1.3.5</t>
  </si>
  <si>
    <t>1.1.3.6</t>
  </si>
  <si>
    <t>1.1.4.5</t>
  </si>
  <si>
    <t>1.1.4.6</t>
  </si>
  <si>
    <t>1.1.4.8</t>
  </si>
  <si>
    <t>1.1.4.9</t>
  </si>
  <si>
    <t>1.1.4.11</t>
  </si>
  <si>
    <r>
      <t>Rozebranie nawierzchni z mieszanek mineralno-bitumicznych, mechanicznie, grubość nawierzchni 3·cm</t>
    </r>
    <r>
      <rPr>
        <b/>
        <sz val="11"/>
        <rFont val="Calibri"/>
        <family val="2"/>
      </rPr>
      <t xml:space="preserve"> (8 CM)</t>
    </r>
  </si>
  <si>
    <r>
      <t xml:space="preserve">Rozebranie podbudowy, z kruszywa, grubość 15·cm, mechanicznie </t>
    </r>
    <r>
      <rPr>
        <b/>
        <sz val="11"/>
        <rFont val="Calibri"/>
        <family val="2"/>
      </rPr>
      <t>DO 30 CM</t>
    </r>
  </si>
  <si>
    <t>KNR 218/907/1</t>
  </si>
  <si>
    <t>Przyłącze wodociągowe z rur ciśnieniowych PE łączonych metodą zgrzewania, Fi·63·mm - ANALOGIA DN32</t>
  </si>
  <si>
    <t>Przyłącze wodociągowe z rur ciśnieniowych PE łączonych metodą zgrzewania, Fi·63·mm - ANALOGIA DN40</t>
  </si>
  <si>
    <t>KNNR 4/111/3 (1)</t>
  </si>
  <si>
    <t>Rurociągi z tworzyw sztucznych (PP, PE, PB) o połączeniach zgrzewanych na ścianach w budynkach mieszkalnych, Fi_zew. 32·mm</t>
  </si>
  <si>
    <t>KNNR 4/111/4 (1)</t>
  </si>
  <si>
    <t>Rurociągi z tworzyw sztucznych (PP, PE, PB) o połączeniach zgrzewanych na ścianach w budynkach mieszkalnych, Fi_zew. 40·mm</t>
  </si>
  <si>
    <t>KNNR 4/111/5 (1)</t>
  </si>
  <si>
    <t>Rurociągi z tworzyw sztucznych (PP, PE, PB) o połączeniach zgrzewanych na ścianach w budynkach mieszkalnych, Fi_zew. 50·mm</t>
  </si>
  <si>
    <t>Przyłącze wodociągowe z rur ciśnieniowych PE łączonych metodą zgrzewania, Fi·90·mm - analogia DN 50</t>
  </si>
  <si>
    <t>KNNR 4/1112/1 (1)</t>
  </si>
  <si>
    <t>Zasuwa typu "E" kołnierzowa z obudową montowana na rurociągach PVC i PE, Fi·50·mm</t>
  </si>
  <si>
    <t>Zasuwa typu "E" kołnierzowa z obudową montowana na rurociągach PVC i PE, Fi·50·mm ANALOGIA DN40 mm</t>
  </si>
  <si>
    <t>Zasuwa typu "E" kołnierzowa z obudową montowana na rurociągach PVC i PE, Fi·50·mm ANALOGIA DN32 mm</t>
  </si>
  <si>
    <t>KNNR 4/1011/1 (1)</t>
  </si>
  <si>
    <t>Połączenie rur polietylenowych, ciśnieniowych za pomocą kształtek elektrooporowych, kształtka PE-DN32/40/50mm</t>
  </si>
  <si>
    <t>Oznakowanie trasy rurociągu tabliczkami, na murze</t>
  </si>
  <si>
    <t>KNR 228/315/1</t>
  </si>
  <si>
    <t xml:space="preserve">Nasady rurowe (opaski) montowane na istniejących rurociągach, rurociągi Fi·100·mm,analogia DN 32mm (4szt) DN 40mm (2szt), DN 50 mm(5 szt) </t>
  </si>
  <si>
    <t>Montaż konsoli wodomierzowej  z zaworem antyskażeniowym i zaworami przelotowymi grzybkowymi -wodomierz dostarcza i montuje MZWiK</t>
  </si>
  <si>
    <t>KNR 201/230/1 (1)</t>
  </si>
  <si>
    <t>Zasypywanie wykopów spycharkami, przemieszczanie na
odległość do 10·m, grunt kategorii I-III, spycharka 55·kW (75·KM)</t>
  </si>
  <si>
    <t>1.1.3.9</t>
  </si>
  <si>
    <t>Rozebranie nawierzchni z kostki kamiennej nieregularnej, na podsypce piaskowej, ręcznie, wysokość kostki 8·cm (KOSTA DO PONOWNEGO UŁOŻENIA)</t>
  </si>
  <si>
    <t>Przejscia pod przeszkodami - metodą podkopu</t>
  </si>
  <si>
    <t xml:space="preserve">Wykopy liniowe szerokości 0,8-2,5·m o ścianach pionowych z ręcznym wydobyciem urobku w gruntach suchych, głębokości do 3,0·m, kategoria gruntu III-IV </t>
  </si>
  <si>
    <t xml:space="preserve">Wykopy oraz przekopy wykonywane na odkład koparkami podsiębiernymi, koparka 0,25-0,60, głębokość do 3·m, kategoria gruntu III-IV </t>
  </si>
  <si>
    <t>Kształtki żeliwne ciśnieniowe kołnierzowe, Fi·100·mm - analogia trójnik  110/110/40 (2szt); 110/110/32 (4szt); 110/110/50 (5szt)</t>
  </si>
  <si>
    <t>2.1.4.4</t>
  </si>
  <si>
    <t>2.1.4.14</t>
  </si>
  <si>
    <t>2.1.4.15</t>
  </si>
  <si>
    <t>2.1.4.16</t>
  </si>
  <si>
    <t>2.1.4.17</t>
  </si>
  <si>
    <t>2.1.4.18</t>
  </si>
  <si>
    <t>2.1.4.19</t>
  </si>
  <si>
    <r>
      <t>m</t>
    </r>
    <r>
      <rPr>
        <vertAlign val="superscript"/>
        <sz val="11"/>
        <rFont val="Calibri"/>
        <family val="2"/>
        <charset val="238"/>
      </rPr>
      <t>2</t>
    </r>
  </si>
  <si>
    <r>
      <t>m</t>
    </r>
    <r>
      <rPr>
        <vertAlign val="superscript"/>
        <sz val="11"/>
        <rFont val="Calibri"/>
        <family val="2"/>
        <charset val="238"/>
      </rPr>
      <t>3</t>
    </r>
  </si>
  <si>
    <r>
      <t xml:space="preserve">Remont sieci wodociągowej w ul. Sokoła (odc. ul.Kolejowa </t>
    </r>
    <r>
      <rPr>
        <b/>
        <sz val="16"/>
        <rFont val="Aptos Narrow"/>
        <family val="2"/>
      </rPr>
      <t xml:space="preserve">÷ ul. </t>
    </r>
    <r>
      <rPr>
        <b/>
        <sz val="16"/>
        <rFont val="Calibri"/>
        <family val="2"/>
      </rPr>
      <t>Szkolna) w Nowym Targu</t>
    </r>
  </si>
  <si>
    <t>KNR 201/212/7 (2)</t>
  </si>
  <si>
    <t>Roboty ziemne koparkami podsiębiernymi z transportem urobku samochodami samowyładowczymi do 1·km, w ziemi uprzednio zmagazynowanej w hałdach, koparka 0,60·m3, grunt kategorii I-III, spycharka 55·kW, samochód 5-10·t</t>
  </si>
  <si>
    <t>1.1.2.3</t>
  </si>
  <si>
    <t>1.1.2.4</t>
  </si>
  <si>
    <t>2.1.1.7</t>
  </si>
  <si>
    <t>2.1.1.8</t>
  </si>
  <si>
    <t>2.1.1.9</t>
  </si>
  <si>
    <t>2.1.1.10</t>
  </si>
  <si>
    <t>PRZEDMIAR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</si>
</sst>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6"/>
      <name val="Calibri"/>
      <family val="2"/>
    </font>
    <font>
      <sz val="8"/>
      <name val="Arial"/>
    </font>
    <font>
      <b/>
      <sz val="11"/>
      <name val="Calibri"/>
      <family val="2"/>
    </font>
    <font>
      <b/>
      <sz val="16"/>
      <name val="Aptos Narrow"/>
      <family val="2"/>
    </font>
    <font>
      <sz val="11"/>
      <name val="Calibri"/>
      <family val="2"/>
      <charset val="238"/>
    </font>
    <font>
      <b/>
      <sz val="16"/>
      <name val="Calibri"/>
      <family val="2"/>
      <charset val="238"/>
    </font>
    <font>
      <sz val="16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70">
    <xf numFmtId="0" fontId="0" fillId="0" borderId="0" xfId="0" applyAlignment="1"/>
    <xf numFmtId="0" fontId="1" fillId="0" borderId="1" xfId="0" applyFont="1" applyBorder="1" applyAlignment="1"/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/>
    <xf numFmtId="0" fontId="7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2" fillId="3" borderId="1" xfId="0" applyNumberFormat="1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 applyAlignment="1"/>
    <xf numFmtId="4" fontId="12" fillId="3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/>
    <xf numFmtId="1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/>
    <xf numFmtId="0" fontId="12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4" fillId="2" borderId="1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/>
    </xf>
    <xf numFmtId="0" fontId="14" fillId="0" borderId="0" xfId="0" applyFont="1" applyAlignment="1"/>
    <xf numFmtId="2" fontId="14" fillId="0" borderId="0" xfId="0" applyNumberFormat="1" applyFont="1" applyAlignment="1"/>
    <xf numFmtId="0" fontId="11" fillId="0" borderId="1" xfId="0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right" vertical="center"/>
      <protection locked="0"/>
    </xf>
    <xf numFmtId="4" fontId="7" fillId="3" borderId="1" xfId="0" applyNumberFormat="1" applyFont="1" applyFill="1" applyBorder="1" applyAlignment="1" applyProtection="1">
      <alignment horizontal="right" vertical="center"/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4" fontId="12" fillId="3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0" fontId="12" fillId="3" borderId="8" xfId="0" applyFont="1" applyFill="1" applyBorder="1" applyAlignment="1">
      <alignment horizontal="right"/>
    </xf>
    <xf numFmtId="0" fontId="12" fillId="3" borderId="9" xfId="0" applyFont="1" applyFill="1" applyBorder="1" applyAlignment="1">
      <alignment horizontal="right"/>
    </xf>
    <xf numFmtId="0" fontId="12" fillId="3" borderId="10" xfId="0" applyFont="1" applyFill="1" applyBorder="1" applyAlignment="1">
      <alignment horizontal="right"/>
    </xf>
    <xf numFmtId="0" fontId="12" fillId="0" borderId="1" xfId="0" applyFont="1" applyBorder="1" applyAlignment="1" applyProtection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0370A-086A-4E78-8BB0-32817B8FA85A}">
  <dimension ref="A1:S103"/>
  <sheetViews>
    <sheetView tabSelected="1" topLeftCell="A115" zoomScaleNormal="100" workbookViewId="0">
      <selection sqref="A1:H1"/>
    </sheetView>
  </sheetViews>
  <sheetFormatPr defaultColWidth="9.140625" defaultRowHeight="12.75" customHeight="1" x14ac:dyDescent="0.2"/>
  <cols>
    <col min="1" max="1" width="7.7109375" style="26" customWidth="1"/>
    <col min="2" max="2" width="16.5703125" style="26" customWidth="1"/>
    <col min="3" max="3" width="61.7109375" style="26" customWidth="1"/>
    <col min="4" max="4" width="8" style="44" customWidth="1"/>
    <col min="5" max="5" width="10.85546875" style="45" customWidth="1"/>
    <col min="6" max="6" width="6.28515625" style="44" customWidth="1"/>
    <col min="7" max="7" width="11.28515625" style="46" customWidth="1"/>
    <col min="8" max="8" width="14" style="46" customWidth="1"/>
    <col min="9" max="9" width="0" style="47" hidden="1" customWidth="1"/>
    <col min="10" max="10" width="9.85546875" style="48" hidden="1" customWidth="1"/>
    <col min="11" max="11" width="0.140625" style="26" hidden="1" customWidth="1"/>
    <col min="12" max="15" width="9.140625" style="26" hidden="1" customWidth="1"/>
    <col min="16" max="16" width="12" style="26" bestFit="1" customWidth="1"/>
    <col min="17" max="17" width="9.85546875" style="26" bestFit="1" customWidth="1"/>
    <col min="18" max="16384" width="9.140625" style="26"/>
  </cols>
  <sheetData>
    <row r="1" spans="1:16" s="11" customFormat="1" ht="42.75" customHeight="1" x14ac:dyDescent="0.2">
      <c r="A1" s="64" t="s">
        <v>255</v>
      </c>
      <c r="B1" s="64"/>
      <c r="C1" s="64"/>
      <c r="D1" s="64"/>
      <c r="E1" s="64"/>
      <c r="F1" s="64"/>
      <c r="G1" s="64"/>
      <c r="H1" s="64"/>
      <c r="I1" s="10"/>
      <c r="J1" s="10"/>
    </row>
    <row r="2" spans="1:16" s="11" customFormat="1" ht="12.75" customHeight="1" x14ac:dyDescent="0.2">
      <c r="A2" s="58" t="s">
        <v>246</v>
      </c>
      <c r="B2" s="59"/>
      <c r="C2" s="59"/>
      <c r="D2" s="59"/>
      <c r="E2" s="59"/>
      <c r="F2" s="59"/>
      <c r="G2" s="59"/>
      <c r="H2" s="60"/>
      <c r="I2" s="12"/>
      <c r="J2" s="12"/>
    </row>
    <row r="3" spans="1:16" s="11" customFormat="1" ht="21" x14ac:dyDescent="0.2">
      <c r="A3" s="61"/>
      <c r="B3" s="62"/>
      <c r="C3" s="62"/>
      <c r="D3" s="62"/>
      <c r="E3" s="62"/>
      <c r="F3" s="62"/>
      <c r="G3" s="62"/>
      <c r="H3" s="63"/>
      <c r="I3" s="12"/>
      <c r="J3" s="12"/>
    </row>
    <row r="4" spans="1:16" s="19" customFormat="1" ht="22.5" x14ac:dyDescent="0.2">
      <c r="A4" s="13" t="s">
        <v>1</v>
      </c>
      <c r="B4" s="14" t="s">
        <v>2</v>
      </c>
      <c r="C4" s="14" t="s">
        <v>3</v>
      </c>
      <c r="D4" s="14" t="s">
        <v>4</v>
      </c>
      <c r="E4" s="15" t="s">
        <v>5</v>
      </c>
      <c r="F4" s="14" t="s">
        <v>6</v>
      </c>
      <c r="G4" s="53" t="s">
        <v>181</v>
      </c>
      <c r="H4" s="16" t="s">
        <v>180</v>
      </c>
      <c r="I4" s="17" t="s">
        <v>179</v>
      </c>
      <c r="J4" s="18" t="s">
        <v>178</v>
      </c>
    </row>
    <row r="5" spans="1:16" ht="15" x14ac:dyDescent="0.2">
      <c r="A5" s="20" t="s">
        <v>7</v>
      </c>
      <c r="B5" s="21" t="s">
        <v>8</v>
      </c>
      <c r="C5" s="21" t="s">
        <v>9</v>
      </c>
      <c r="D5" s="22" t="s">
        <v>173</v>
      </c>
      <c r="E5" s="23"/>
      <c r="F5" s="22" t="s">
        <v>173</v>
      </c>
      <c r="G5" s="54"/>
      <c r="H5" s="24"/>
      <c r="I5" s="6" t="s">
        <v>173</v>
      </c>
      <c r="J5" s="25"/>
    </row>
    <row r="6" spans="1:16" ht="15" x14ac:dyDescent="0.2">
      <c r="A6" s="20" t="s">
        <v>11</v>
      </c>
      <c r="B6" s="21" t="s">
        <v>10</v>
      </c>
      <c r="C6" s="21" t="s">
        <v>12</v>
      </c>
      <c r="D6" s="22" t="s">
        <v>173</v>
      </c>
      <c r="E6" s="23"/>
      <c r="F6" s="22" t="s">
        <v>173</v>
      </c>
      <c r="G6" s="55"/>
      <c r="H6" s="27"/>
      <c r="I6" s="6" t="s">
        <v>173</v>
      </c>
      <c r="J6" s="3" t="e">
        <f>J7+J14+J20+J30+#REF!</f>
        <v>#REF!</v>
      </c>
    </row>
    <row r="7" spans="1:16" ht="15" x14ac:dyDescent="0.2">
      <c r="A7" s="28" t="s">
        <v>14</v>
      </c>
      <c r="B7" s="29" t="s">
        <v>13</v>
      </c>
      <c r="C7" s="69" t="s">
        <v>15</v>
      </c>
      <c r="D7" s="30" t="s">
        <v>173</v>
      </c>
      <c r="E7" s="31"/>
      <c r="F7" s="30" t="s">
        <v>173</v>
      </c>
      <c r="G7" s="56"/>
      <c r="H7" s="33"/>
      <c r="I7" s="6" t="s">
        <v>173</v>
      </c>
      <c r="J7" s="3" t="e">
        <f>SUM(J9:J13)</f>
        <v>#REF!</v>
      </c>
    </row>
    <row r="8" spans="1:16" ht="30" x14ac:dyDescent="0.2">
      <c r="A8" s="34" t="s">
        <v>196</v>
      </c>
      <c r="B8" s="9" t="s">
        <v>189</v>
      </c>
      <c r="C8" s="9" t="s">
        <v>190</v>
      </c>
      <c r="D8" s="30" t="s">
        <v>17</v>
      </c>
      <c r="E8" s="31">
        <f>E34*2</f>
        <v>203.33999999999997</v>
      </c>
      <c r="F8" s="30">
        <v>1</v>
      </c>
      <c r="G8" s="56"/>
      <c r="H8" s="32">
        <f t="shared" ref="H8:H13" si="0">E8*F8*G8</f>
        <v>0</v>
      </c>
      <c r="I8" s="6"/>
      <c r="J8" s="3"/>
    </row>
    <row r="9" spans="1:16" ht="30" x14ac:dyDescent="0.2">
      <c r="A9" s="34" t="s">
        <v>18</v>
      </c>
      <c r="B9" s="9" t="s">
        <v>20</v>
      </c>
      <c r="C9" s="9" t="s">
        <v>207</v>
      </c>
      <c r="D9" s="35" t="s">
        <v>244</v>
      </c>
      <c r="E9" s="31">
        <f>E42*3</f>
        <v>305.01</v>
      </c>
      <c r="F9" s="30">
        <v>1</v>
      </c>
      <c r="G9" s="56"/>
      <c r="H9" s="32">
        <f t="shared" si="0"/>
        <v>0</v>
      </c>
      <c r="I9" s="6">
        <v>12.38</v>
      </c>
      <c r="J9" s="25" t="e">
        <f>ROUND(#REF!*I9,2)</f>
        <v>#REF!</v>
      </c>
    </row>
    <row r="10" spans="1:16" ht="30" x14ac:dyDescent="0.2">
      <c r="A10" s="34" t="s">
        <v>19</v>
      </c>
      <c r="B10" s="9" t="s">
        <v>20</v>
      </c>
      <c r="C10" s="9" t="s">
        <v>177</v>
      </c>
      <c r="D10" s="35" t="s">
        <v>244</v>
      </c>
      <c r="E10" s="31">
        <f>E9</f>
        <v>305.01</v>
      </c>
      <c r="F10" s="30">
        <v>5</v>
      </c>
      <c r="G10" s="56"/>
      <c r="H10" s="32">
        <f t="shared" si="0"/>
        <v>0</v>
      </c>
      <c r="I10" s="7">
        <v>9</v>
      </c>
      <c r="J10" s="25" t="e">
        <f>ROUND(#REF!*I10,2)</f>
        <v>#REF!</v>
      </c>
    </row>
    <row r="11" spans="1:16" ht="32.25" customHeight="1" x14ac:dyDescent="0.2">
      <c r="A11" s="34" t="s">
        <v>21</v>
      </c>
      <c r="B11" s="9" t="s">
        <v>191</v>
      </c>
      <c r="C11" s="9" t="s">
        <v>208</v>
      </c>
      <c r="D11" s="35" t="s">
        <v>244</v>
      </c>
      <c r="E11" s="31">
        <f>E10</f>
        <v>305.01</v>
      </c>
      <c r="F11" s="30">
        <v>2</v>
      </c>
      <c r="G11" s="56"/>
      <c r="H11" s="32">
        <f t="shared" si="0"/>
        <v>0</v>
      </c>
      <c r="I11" s="7">
        <v>8.99</v>
      </c>
      <c r="J11" s="25" t="e">
        <f>ROUND(#REF!*I11,2)</f>
        <v>#REF!</v>
      </c>
    </row>
    <row r="12" spans="1:16" ht="45" x14ac:dyDescent="0.2">
      <c r="A12" s="34" t="s">
        <v>197</v>
      </c>
      <c r="B12" s="9" t="s">
        <v>23</v>
      </c>
      <c r="C12" s="9" t="s">
        <v>24</v>
      </c>
      <c r="D12" s="35" t="s">
        <v>245</v>
      </c>
      <c r="E12" s="31">
        <f>E9*(0.08+0.3)</f>
        <v>115.9038</v>
      </c>
      <c r="F12" s="30">
        <v>1</v>
      </c>
      <c r="G12" s="56"/>
      <c r="H12" s="32">
        <f t="shared" si="0"/>
        <v>0</v>
      </c>
      <c r="I12" s="7">
        <v>26.01</v>
      </c>
      <c r="J12" s="25" t="e">
        <f>ROUND(#REF!*I12,2)</f>
        <v>#REF!</v>
      </c>
    </row>
    <row r="13" spans="1:16" ht="45" x14ac:dyDescent="0.2">
      <c r="A13" s="34" t="s">
        <v>198</v>
      </c>
      <c r="B13" s="9" t="s">
        <v>25</v>
      </c>
      <c r="C13" s="9" t="s">
        <v>26</v>
      </c>
      <c r="D13" s="35" t="s">
        <v>245</v>
      </c>
      <c r="E13" s="31">
        <f>E12</f>
        <v>115.9038</v>
      </c>
      <c r="F13" s="30">
        <v>2</v>
      </c>
      <c r="G13" s="56"/>
      <c r="H13" s="32">
        <f t="shared" si="0"/>
        <v>0</v>
      </c>
      <c r="I13" s="7">
        <v>10.88</v>
      </c>
      <c r="J13" s="25" t="e">
        <f>ROUND(#REF!*I13,2)</f>
        <v>#REF!</v>
      </c>
    </row>
    <row r="14" spans="1:16" ht="15" x14ac:dyDescent="0.2">
      <c r="A14" s="20" t="s">
        <v>27</v>
      </c>
      <c r="B14" s="21" t="s">
        <v>13</v>
      </c>
      <c r="C14" s="21" t="s">
        <v>28</v>
      </c>
      <c r="D14" s="22" t="s">
        <v>173</v>
      </c>
      <c r="E14" s="23"/>
      <c r="F14" s="22" t="s">
        <v>173</v>
      </c>
      <c r="G14" s="55"/>
      <c r="H14" s="65"/>
      <c r="I14" s="6" t="s">
        <v>173</v>
      </c>
      <c r="J14" s="3" t="e">
        <f>SUM(J15:J19)</f>
        <v>#REF!</v>
      </c>
    </row>
    <row r="15" spans="1:16" ht="30" x14ac:dyDescent="0.2">
      <c r="A15" s="34" t="s">
        <v>29</v>
      </c>
      <c r="B15" s="9" t="s">
        <v>30</v>
      </c>
      <c r="C15" s="9" t="s">
        <v>32</v>
      </c>
      <c r="D15" s="35" t="s">
        <v>31</v>
      </c>
      <c r="E15" s="31">
        <f>E31/1000</f>
        <v>0.10166999999999998</v>
      </c>
      <c r="F15" s="30">
        <v>1</v>
      </c>
      <c r="G15" s="56"/>
      <c r="H15" s="32">
        <f>E15*F15*G15</f>
        <v>0</v>
      </c>
      <c r="I15" s="6">
        <v>3601.89</v>
      </c>
      <c r="J15" s="25" t="e">
        <f>ROUND(#REF!*I15,2)</f>
        <v>#REF!</v>
      </c>
    </row>
    <row r="16" spans="1:16" ht="45" x14ac:dyDescent="0.2">
      <c r="A16" s="34" t="s">
        <v>33</v>
      </c>
      <c r="B16" s="9" t="s">
        <v>34</v>
      </c>
      <c r="C16" s="9" t="s">
        <v>35</v>
      </c>
      <c r="D16" s="35" t="s">
        <v>245</v>
      </c>
      <c r="E16" s="31">
        <f>E34*0.9*(1.7-(0.3+0.08))</f>
        <v>120.78395999999996</v>
      </c>
      <c r="F16" s="30">
        <v>1</v>
      </c>
      <c r="G16" s="56"/>
      <c r="H16" s="32">
        <f>E16*F16*G16</f>
        <v>0</v>
      </c>
      <c r="I16" s="6">
        <v>14.02</v>
      </c>
      <c r="J16" s="25" t="e">
        <f>ROUND(#REF!*I16,2)</f>
        <v>#REF!</v>
      </c>
      <c r="P16" s="36"/>
    </row>
    <row r="17" spans="1:19" ht="45" x14ac:dyDescent="0.2">
      <c r="A17" s="34" t="s">
        <v>249</v>
      </c>
      <c r="B17" s="9" t="s">
        <v>40</v>
      </c>
      <c r="C17" s="9" t="s">
        <v>234</v>
      </c>
      <c r="D17" s="35" t="s">
        <v>245</v>
      </c>
      <c r="E17" s="31">
        <f>E34*0.9*0.2</f>
        <v>18.300599999999999</v>
      </c>
      <c r="F17" s="30">
        <v>1</v>
      </c>
      <c r="G17" s="56"/>
      <c r="H17" s="32">
        <f>E17*F17*G17</f>
        <v>0</v>
      </c>
      <c r="I17" s="6">
        <v>77.75</v>
      </c>
      <c r="J17" s="25" t="e">
        <f>ROUND(#REF!*I17,2)</f>
        <v>#REF!</v>
      </c>
      <c r="R17" s="36"/>
    </row>
    <row r="18" spans="1:19" s="51" customFormat="1" ht="60" x14ac:dyDescent="0.2">
      <c r="A18" s="34" t="s">
        <v>250</v>
      </c>
      <c r="B18" s="9" t="s">
        <v>247</v>
      </c>
      <c r="C18" s="9" t="s">
        <v>248</v>
      </c>
      <c r="D18" s="35" t="s">
        <v>245</v>
      </c>
      <c r="E18" s="31">
        <f>E17+E21</f>
        <v>63.08638750499999</v>
      </c>
      <c r="F18" s="30">
        <v>1</v>
      </c>
      <c r="G18" s="56"/>
      <c r="H18" s="32">
        <f>E18*F18*G18</f>
        <v>0</v>
      </c>
      <c r="I18" s="49"/>
      <c r="J18" s="50"/>
      <c r="R18" s="52"/>
    </row>
    <row r="19" spans="1:19" ht="60" x14ac:dyDescent="0.2">
      <c r="A19" s="34" t="s">
        <v>39</v>
      </c>
      <c r="B19" s="9" t="s">
        <v>41</v>
      </c>
      <c r="C19" s="9" t="s">
        <v>42</v>
      </c>
      <c r="D19" s="35" t="s">
        <v>244</v>
      </c>
      <c r="E19" s="31">
        <f>E34*1.7*2</f>
        <v>345.67799999999994</v>
      </c>
      <c r="F19" s="30">
        <v>1</v>
      </c>
      <c r="G19" s="56"/>
      <c r="H19" s="32">
        <f>E19*F19*G19</f>
        <v>0</v>
      </c>
      <c r="I19" s="6">
        <v>8.8800000000000008</v>
      </c>
      <c r="J19" s="25" t="e">
        <f>ROUND(#REF!*I19,2)</f>
        <v>#REF!</v>
      </c>
      <c r="R19" s="36"/>
      <c r="S19" s="36"/>
    </row>
    <row r="20" spans="1:19" ht="15" x14ac:dyDescent="0.2">
      <c r="A20" s="20" t="s">
        <v>43</v>
      </c>
      <c r="B20" s="21" t="s">
        <v>13</v>
      </c>
      <c r="C20" s="21" t="s">
        <v>44</v>
      </c>
      <c r="D20" s="22" t="s">
        <v>173</v>
      </c>
      <c r="E20" s="23"/>
      <c r="F20" s="22" t="s">
        <v>173</v>
      </c>
      <c r="G20" s="55"/>
      <c r="H20" s="65"/>
      <c r="I20" s="6"/>
      <c r="J20" s="3" t="e">
        <f>SUM(J21:J29)</f>
        <v>#REF!</v>
      </c>
    </row>
    <row r="21" spans="1:19" ht="30" x14ac:dyDescent="0.2">
      <c r="A21" s="34" t="s">
        <v>45</v>
      </c>
      <c r="B21" s="9" t="s">
        <v>46</v>
      </c>
      <c r="C21" s="9" t="s">
        <v>195</v>
      </c>
      <c r="D21" s="35" t="s">
        <v>245</v>
      </c>
      <c r="E21" s="31">
        <f>E34*0.9*(0.2+0.1+0.2)-3.14*0.055^2*E34</f>
        <v>44.785787504999995</v>
      </c>
      <c r="F21" s="30">
        <v>1</v>
      </c>
      <c r="G21" s="56"/>
      <c r="H21" s="32">
        <f t="shared" ref="H21:H29" si="1">E21*F21*G21</f>
        <v>0</v>
      </c>
      <c r="I21" s="6">
        <v>100.78</v>
      </c>
      <c r="J21" s="25" t="e">
        <f>ROUND(#REF!*I21,2)</f>
        <v>#REF!</v>
      </c>
    </row>
    <row r="22" spans="1:19" ht="45" x14ac:dyDescent="0.2">
      <c r="A22" s="34" t="s">
        <v>47</v>
      </c>
      <c r="B22" s="9" t="s">
        <v>48</v>
      </c>
      <c r="C22" s="9" t="s">
        <v>49</v>
      </c>
      <c r="D22" s="35" t="s">
        <v>245</v>
      </c>
      <c r="E22" s="31">
        <f>E21</f>
        <v>44.785787504999995</v>
      </c>
      <c r="F22" s="30">
        <v>1</v>
      </c>
      <c r="G22" s="56"/>
      <c r="H22" s="32">
        <f t="shared" si="1"/>
        <v>0</v>
      </c>
      <c r="I22" s="6">
        <v>43.94</v>
      </c>
      <c r="J22" s="25" t="e">
        <f>ROUND(#REF!*I22,2)</f>
        <v>#REF!</v>
      </c>
    </row>
    <row r="23" spans="1:19" ht="30" x14ac:dyDescent="0.2">
      <c r="A23" s="34" t="s">
        <v>50</v>
      </c>
      <c r="B23" s="9" t="s">
        <v>51</v>
      </c>
      <c r="C23" s="9" t="s">
        <v>52</v>
      </c>
      <c r="D23" s="35" t="s">
        <v>245</v>
      </c>
      <c r="E23" s="31">
        <f>E16+E17</f>
        <v>139.08455999999995</v>
      </c>
      <c r="F23" s="30">
        <v>1</v>
      </c>
      <c r="G23" s="56"/>
      <c r="H23" s="32">
        <f t="shared" si="1"/>
        <v>0</v>
      </c>
      <c r="I23" s="6">
        <v>14.28</v>
      </c>
      <c r="J23" s="25" t="e">
        <f>ROUND(#REF!*I23,2)</f>
        <v>#REF!</v>
      </c>
    </row>
    <row r="24" spans="1:19" ht="30" x14ac:dyDescent="0.2">
      <c r="A24" s="34" t="s">
        <v>199</v>
      </c>
      <c r="B24" s="9" t="s">
        <v>229</v>
      </c>
      <c r="C24" s="9" t="s">
        <v>230</v>
      </c>
      <c r="D24" s="35" t="s">
        <v>245</v>
      </c>
      <c r="E24" s="31">
        <f>E23-E21</f>
        <v>94.298772494999952</v>
      </c>
      <c r="F24" s="30">
        <v>1</v>
      </c>
      <c r="G24" s="56"/>
      <c r="H24" s="32">
        <f t="shared" si="1"/>
        <v>0</v>
      </c>
      <c r="I24" s="6"/>
      <c r="J24" s="25"/>
    </row>
    <row r="25" spans="1:19" ht="30" x14ac:dyDescent="0.2">
      <c r="A25" s="34" t="s">
        <v>200</v>
      </c>
      <c r="B25" s="9" t="s">
        <v>54</v>
      </c>
      <c r="C25" s="9" t="s">
        <v>56</v>
      </c>
      <c r="D25" s="35" t="s">
        <v>55</v>
      </c>
      <c r="E25" s="37">
        <v>7</v>
      </c>
      <c r="F25" s="30">
        <v>1</v>
      </c>
      <c r="G25" s="56"/>
      <c r="H25" s="32">
        <f t="shared" si="1"/>
        <v>0</v>
      </c>
      <c r="I25" s="6">
        <v>286.57</v>
      </c>
      <c r="J25" s="25" t="e">
        <f>ROUND(#REF!*I25,2)</f>
        <v>#REF!</v>
      </c>
    </row>
    <row r="26" spans="1:19" ht="30" x14ac:dyDescent="0.2">
      <c r="A26" s="34" t="s">
        <v>201</v>
      </c>
      <c r="B26" s="9" t="s">
        <v>58</v>
      </c>
      <c r="C26" s="9" t="s">
        <v>59</v>
      </c>
      <c r="D26" s="35" t="s">
        <v>55</v>
      </c>
      <c r="E26" s="37">
        <v>7</v>
      </c>
      <c r="F26" s="30">
        <v>1</v>
      </c>
      <c r="G26" s="56"/>
      <c r="H26" s="32">
        <f t="shared" si="1"/>
        <v>0</v>
      </c>
      <c r="I26" s="6">
        <v>179.53</v>
      </c>
      <c r="J26" s="25" t="e">
        <f>ROUND(#REF!*I26,2)</f>
        <v>#REF!</v>
      </c>
    </row>
    <row r="27" spans="1:19" ht="36.75" customHeight="1" x14ac:dyDescent="0.2">
      <c r="A27" s="34" t="s">
        <v>53</v>
      </c>
      <c r="B27" s="9" t="s">
        <v>60</v>
      </c>
      <c r="C27" s="9" t="s">
        <v>61</v>
      </c>
      <c r="D27" s="35" t="s">
        <v>55</v>
      </c>
      <c r="E27" s="37">
        <f>2+2</f>
        <v>4</v>
      </c>
      <c r="F27" s="30">
        <v>1</v>
      </c>
      <c r="G27" s="56"/>
      <c r="H27" s="32">
        <f t="shared" si="1"/>
        <v>0</v>
      </c>
      <c r="I27" s="6">
        <v>79.23</v>
      </c>
      <c r="J27" s="25" t="e">
        <f>ROUND(#REF!*I27,2)</f>
        <v>#REF!</v>
      </c>
    </row>
    <row r="28" spans="1:19" ht="30" x14ac:dyDescent="0.2">
      <c r="A28" s="34" t="s">
        <v>57</v>
      </c>
      <c r="B28" s="9" t="s">
        <v>62</v>
      </c>
      <c r="C28" s="9" t="s">
        <v>63</v>
      </c>
      <c r="D28" s="35" t="s">
        <v>55</v>
      </c>
      <c r="E28" s="37">
        <f>E27</f>
        <v>4</v>
      </c>
      <c r="F28" s="30">
        <v>1</v>
      </c>
      <c r="G28" s="56"/>
      <c r="H28" s="32">
        <f t="shared" si="1"/>
        <v>0</v>
      </c>
      <c r="I28" s="6">
        <v>68.680000000000007</v>
      </c>
      <c r="J28" s="25" t="e">
        <f>ROUND(#REF!*I28,2)</f>
        <v>#REF!</v>
      </c>
    </row>
    <row r="29" spans="1:19" ht="30" x14ac:dyDescent="0.2">
      <c r="A29" s="34" t="s">
        <v>231</v>
      </c>
      <c r="B29" s="9" t="s">
        <v>64</v>
      </c>
      <c r="C29" s="9" t="s">
        <v>65</v>
      </c>
      <c r="D29" s="35" t="s">
        <v>17</v>
      </c>
      <c r="E29" s="37">
        <f>E27*2</f>
        <v>8</v>
      </c>
      <c r="F29" s="30">
        <v>1</v>
      </c>
      <c r="G29" s="56"/>
      <c r="H29" s="32">
        <f t="shared" si="1"/>
        <v>0</v>
      </c>
      <c r="I29" s="6">
        <v>32.1</v>
      </c>
      <c r="J29" s="25" t="e">
        <f>ROUND(#REF!*I29,2)</f>
        <v>#REF!</v>
      </c>
    </row>
    <row r="30" spans="1:19" ht="15" x14ac:dyDescent="0.2">
      <c r="A30" s="20" t="s">
        <v>66</v>
      </c>
      <c r="B30" s="21" t="s">
        <v>13</v>
      </c>
      <c r="C30" s="21" t="s">
        <v>67</v>
      </c>
      <c r="D30" s="22" t="s">
        <v>173</v>
      </c>
      <c r="E30" s="23"/>
      <c r="F30" s="22" t="s">
        <v>173</v>
      </c>
      <c r="G30" s="55"/>
      <c r="H30" s="65"/>
      <c r="I30" s="6"/>
      <c r="J30" s="3" t="e">
        <f>SUM(J31:J45)</f>
        <v>#REF!</v>
      </c>
    </row>
    <row r="31" spans="1:19" ht="30" x14ac:dyDescent="0.2">
      <c r="A31" s="34" t="s">
        <v>68</v>
      </c>
      <c r="B31" s="9" t="s">
        <v>69</v>
      </c>
      <c r="C31" s="9" t="s">
        <v>184</v>
      </c>
      <c r="D31" s="35" t="s">
        <v>17</v>
      </c>
      <c r="E31" s="31">
        <f>0.9+6.41+9.02+13.73+4.49+14.66+3.52+6.36+3.17+5.61+8.8+8.71+14.66+1.63</f>
        <v>101.66999999999999</v>
      </c>
      <c r="F31" s="30">
        <v>1</v>
      </c>
      <c r="G31" s="56"/>
      <c r="H31" s="32">
        <f t="shared" ref="H31:H45" si="2">E31*F31*G31</f>
        <v>0</v>
      </c>
      <c r="I31" s="6">
        <v>8.91</v>
      </c>
      <c r="J31" s="25" t="e">
        <f>ROUND(#REF!*I31,2)</f>
        <v>#REF!</v>
      </c>
    </row>
    <row r="32" spans="1:19" ht="15" x14ac:dyDescent="0.2">
      <c r="A32" s="34" t="s">
        <v>70</v>
      </c>
      <c r="B32" s="9" t="s">
        <v>71</v>
      </c>
      <c r="C32" s="9" t="s">
        <v>185</v>
      </c>
      <c r="D32" s="35" t="s">
        <v>72</v>
      </c>
      <c r="E32" s="37">
        <v>2</v>
      </c>
      <c r="F32" s="30">
        <v>1</v>
      </c>
      <c r="G32" s="56"/>
      <c r="H32" s="32">
        <f t="shared" si="2"/>
        <v>0</v>
      </c>
      <c r="I32" s="6">
        <v>84.36</v>
      </c>
      <c r="J32" s="25" t="e">
        <f>ROUND(#REF!*I32,2)</f>
        <v>#REF!</v>
      </c>
    </row>
    <row r="33" spans="1:10" ht="30" x14ac:dyDescent="0.2">
      <c r="A33" s="34" t="s">
        <v>73</v>
      </c>
      <c r="B33" s="9" t="s">
        <v>76</v>
      </c>
      <c r="C33" s="9" t="s">
        <v>187</v>
      </c>
      <c r="D33" s="35" t="s">
        <v>55</v>
      </c>
      <c r="E33" s="37">
        <v>2</v>
      </c>
      <c r="F33" s="30">
        <v>1</v>
      </c>
      <c r="G33" s="56"/>
      <c r="H33" s="32">
        <f t="shared" si="2"/>
        <v>0</v>
      </c>
      <c r="I33" s="6">
        <v>1371.73</v>
      </c>
      <c r="J33" s="25" t="e">
        <f>ROUND(#REF!*I33,2)</f>
        <v>#REF!</v>
      </c>
    </row>
    <row r="34" spans="1:10" ht="30" x14ac:dyDescent="0.2">
      <c r="A34" s="34" t="s">
        <v>75</v>
      </c>
      <c r="B34" s="9" t="s">
        <v>78</v>
      </c>
      <c r="C34" s="9" t="s">
        <v>186</v>
      </c>
      <c r="D34" s="35" t="s">
        <v>17</v>
      </c>
      <c r="E34" s="31">
        <f>0.9+6.41+9.02+13.73+4.49+14.66+3.52+6.36+3.17+5.61+8.8+8.71+14.66+1.63</f>
        <v>101.66999999999999</v>
      </c>
      <c r="F34" s="30">
        <v>1</v>
      </c>
      <c r="G34" s="56"/>
      <c r="H34" s="32">
        <f t="shared" si="2"/>
        <v>0</v>
      </c>
      <c r="I34" s="6">
        <v>66.209999999999994</v>
      </c>
      <c r="J34" s="25" t="e">
        <f>ROUND(#REF!*I34,2)</f>
        <v>#REF!</v>
      </c>
    </row>
    <row r="35" spans="1:10" ht="30" x14ac:dyDescent="0.2">
      <c r="A35" s="34" t="s">
        <v>202</v>
      </c>
      <c r="B35" s="9" t="s">
        <v>74</v>
      </c>
      <c r="C35" s="9" t="s">
        <v>192</v>
      </c>
      <c r="D35" s="35" t="s">
        <v>55</v>
      </c>
      <c r="E35" s="37">
        <v>1</v>
      </c>
      <c r="F35" s="30">
        <v>1</v>
      </c>
      <c r="G35" s="56"/>
      <c r="H35" s="32">
        <f t="shared" si="2"/>
        <v>0</v>
      </c>
      <c r="I35" s="6"/>
      <c r="J35" s="25"/>
    </row>
    <row r="36" spans="1:10" ht="30" x14ac:dyDescent="0.2">
      <c r="A36" s="34" t="s">
        <v>203</v>
      </c>
      <c r="B36" s="9" t="s">
        <v>74</v>
      </c>
      <c r="C36" s="9" t="s">
        <v>193</v>
      </c>
      <c r="D36" s="35" t="s">
        <v>55</v>
      </c>
      <c r="E36" s="37">
        <v>1</v>
      </c>
      <c r="F36" s="30">
        <v>1</v>
      </c>
      <c r="G36" s="56"/>
      <c r="H36" s="32">
        <f t="shared" si="2"/>
        <v>0</v>
      </c>
      <c r="I36" s="6"/>
      <c r="J36" s="25"/>
    </row>
    <row r="37" spans="1:10" ht="30" x14ac:dyDescent="0.2">
      <c r="A37" s="34" t="s">
        <v>77</v>
      </c>
      <c r="B37" s="9" t="s">
        <v>80</v>
      </c>
      <c r="C37" s="9" t="s">
        <v>236</v>
      </c>
      <c r="D37" s="35" t="s">
        <v>72</v>
      </c>
      <c r="E37" s="37">
        <v>11</v>
      </c>
      <c r="F37" s="30">
        <v>1</v>
      </c>
      <c r="G37" s="56"/>
      <c r="H37" s="32">
        <f t="shared" si="2"/>
        <v>0</v>
      </c>
      <c r="I37" s="6">
        <v>500.91</v>
      </c>
      <c r="J37" s="25" t="e">
        <f>ROUND(#REF!*I37,2)</f>
        <v>#REF!</v>
      </c>
    </row>
    <row r="38" spans="1:10" ht="30" x14ac:dyDescent="0.2">
      <c r="A38" s="34" t="s">
        <v>204</v>
      </c>
      <c r="B38" s="9" t="s">
        <v>85</v>
      </c>
      <c r="C38" s="9" t="s">
        <v>194</v>
      </c>
      <c r="D38" s="35" t="s">
        <v>72</v>
      </c>
      <c r="E38" s="37">
        <v>3</v>
      </c>
      <c r="F38" s="30">
        <v>1</v>
      </c>
      <c r="G38" s="56"/>
      <c r="H38" s="32">
        <f t="shared" si="2"/>
        <v>0</v>
      </c>
      <c r="I38" s="6">
        <v>282.16000000000003</v>
      </c>
      <c r="J38" s="25" t="e">
        <f>ROUND(#REF!*I38,2)</f>
        <v>#REF!</v>
      </c>
    </row>
    <row r="39" spans="1:10" ht="30" x14ac:dyDescent="0.2">
      <c r="A39" s="34" t="s">
        <v>205</v>
      </c>
      <c r="B39" s="9" t="s">
        <v>87</v>
      </c>
      <c r="C39" s="9" t="s">
        <v>88</v>
      </c>
      <c r="D39" s="35" t="s">
        <v>86</v>
      </c>
      <c r="E39" s="37">
        <f>ROUND(E34/12,0)+1</f>
        <v>9</v>
      </c>
      <c r="F39" s="30">
        <v>1</v>
      </c>
      <c r="G39" s="56"/>
      <c r="H39" s="32">
        <f t="shared" si="2"/>
        <v>0</v>
      </c>
      <c r="I39" s="6">
        <v>69.98</v>
      </c>
      <c r="J39" s="25" t="e">
        <f>ROUND(#REF!*I39,2)</f>
        <v>#REF!</v>
      </c>
    </row>
    <row r="40" spans="1:10" ht="30" x14ac:dyDescent="0.2">
      <c r="A40" s="34" t="s">
        <v>79</v>
      </c>
      <c r="B40" s="9" t="s">
        <v>89</v>
      </c>
      <c r="C40" s="38" t="s">
        <v>90</v>
      </c>
      <c r="D40" s="39" t="s">
        <v>244</v>
      </c>
      <c r="E40" s="31">
        <f>(0.3*0.3)*4*2</f>
        <v>0.72</v>
      </c>
      <c r="F40" s="30">
        <v>1</v>
      </c>
      <c r="G40" s="56"/>
      <c r="H40" s="32">
        <f t="shared" si="2"/>
        <v>0</v>
      </c>
      <c r="I40" s="6">
        <v>47.73</v>
      </c>
      <c r="J40" s="25" t="e">
        <f>ROUND(#REF!*I40,2)</f>
        <v>#REF!</v>
      </c>
    </row>
    <row r="41" spans="1:10" ht="30" x14ac:dyDescent="0.2">
      <c r="A41" s="34" t="s">
        <v>206</v>
      </c>
      <c r="B41" s="9" t="s">
        <v>91</v>
      </c>
      <c r="C41" s="38" t="s">
        <v>92</v>
      </c>
      <c r="D41" s="39" t="s">
        <v>245</v>
      </c>
      <c r="E41" s="31">
        <f>0.3*0.3*0.3*2</f>
        <v>5.3999999999999999E-2</v>
      </c>
      <c r="F41" s="30">
        <v>1</v>
      </c>
      <c r="G41" s="56"/>
      <c r="H41" s="32">
        <f t="shared" si="2"/>
        <v>0</v>
      </c>
      <c r="I41" s="6">
        <v>242.6</v>
      </c>
      <c r="J41" s="25" t="e">
        <f>ROUND(#REF!*I41,2)</f>
        <v>#REF!</v>
      </c>
    </row>
    <row r="42" spans="1:10" ht="45" x14ac:dyDescent="0.2">
      <c r="A42" s="34" t="s">
        <v>81</v>
      </c>
      <c r="B42" s="9" t="s">
        <v>93</v>
      </c>
      <c r="C42" s="38" t="s">
        <v>188</v>
      </c>
      <c r="D42" s="39" t="s">
        <v>17</v>
      </c>
      <c r="E42" s="31">
        <f>E34</f>
        <v>101.66999999999999</v>
      </c>
      <c r="F42" s="30">
        <v>1</v>
      </c>
      <c r="G42" s="56"/>
      <c r="H42" s="32">
        <f t="shared" si="2"/>
        <v>0</v>
      </c>
      <c r="I42" s="6">
        <v>2.04</v>
      </c>
      <c r="J42" s="25" t="e">
        <f>ROUND(#REF!*I42,2)</f>
        <v>#REF!</v>
      </c>
    </row>
    <row r="43" spans="1:10" ht="30" x14ac:dyDescent="0.2">
      <c r="A43" s="34" t="s">
        <v>82</v>
      </c>
      <c r="B43" s="9" t="s">
        <v>94</v>
      </c>
      <c r="C43" s="9" t="s">
        <v>96</v>
      </c>
      <c r="D43" s="35" t="s">
        <v>95</v>
      </c>
      <c r="E43" s="31">
        <f>E34/200</f>
        <v>0.50834999999999997</v>
      </c>
      <c r="F43" s="30">
        <v>1</v>
      </c>
      <c r="G43" s="56"/>
      <c r="H43" s="32">
        <f t="shared" si="2"/>
        <v>0</v>
      </c>
      <c r="I43" s="6">
        <v>47.13</v>
      </c>
      <c r="J43" s="25" t="e">
        <f>ROUND(#REF!*I43,2)</f>
        <v>#REF!</v>
      </c>
    </row>
    <row r="44" spans="1:10" ht="30" x14ac:dyDescent="0.2">
      <c r="A44" s="34" t="s">
        <v>83</v>
      </c>
      <c r="B44" s="9" t="s">
        <v>97</v>
      </c>
      <c r="C44" s="9" t="s">
        <v>98</v>
      </c>
      <c r="D44" s="35" t="s">
        <v>95</v>
      </c>
      <c r="E44" s="31">
        <f>E43</f>
        <v>0.50834999999999997</v>
      </c>
      <c r="F44" s="30">
        <v>1</v>
      </c>
      <c r="G44" s="56"/>
      <c r="H44" s="32">
        <f t="shared" si="2"/>
        <v>0</v>
      </c>
      <c r="I44" s="6">
        <v>171.08</v>
      </c>
      <c r="J44" s="25" t="e">
        <f>ROUND(#REF!*I44,2)</f>
        <v>#REF!</v>
      </c>
    </row>
    <row r="45" spans="1:10" ht="30" x14ac:dyDescent="0.2">
      <c r="A45" s="34" t="s">
        <v>84</v>
      </c>
      <c r="B45" s="9" t="s">
        <v>100</v>
      </c>
      <c r="C45" s="9" t="s">
        <v>101</v>
      </c>
      <c r="D45" s="35" t="s">
        <v>99</v>
      </c>
      <c r="E45" s="31">
        <f>E43</f>
        <v>0.50834999999999997</v>
      </c>
      <c r="F45" s="30">
        <v>1</v>
      </c>
      <c r="G45" s="56"/>
      <c r="H45" s="32">
        <f t="shared" si="2"/>
        <v>0</v>
      </c>
      <c r="I45" s="6">
        <v>411.65</v>
      </c>
      <c r="J45" s="25" t="e">
        <f>ROUND(#REF!*I45,2)</f>
        <v>#REF!</v>
      </c>
    </row>
    <row r="46" spans="1:10" ht="15" x14ac:dyDescent="0.2">
      <c r="A46" s="20" t="s">
        <v>102</v>
      </c>
      <c r="B46" s="21" t="s">
        <v>8</v>
      </c>
      <c r="C46" s="21" t="s">
        <v>103</v>
      </c>
      <c r="D46" s="22" t="s">
        <v>173</v>
      </c>
      <c r="E46" s="23"/>
      <c r="F46" s="22" t="s">
        <v>173</v>
      </c>
      <c r="G46" s="55"/>
      <c r="H46" s="65"/>
      <c r="I46" s="6" t="s">
        <v>173</v>
      </c>
      <c r="J46" s="25"/>
    </row>
    <row r="47" spans="1:10" ht="15" x14ac:dyDescent="0.2">
      <c r="A47" s="20" t="s">
        <v>104</v>
      </c>
      <c r="B47" s="21" t="s">
        <v>10</v>
      </c>
      <c r="C47" s="21" t="s">
        <v>105</v>
      </c>
      <c r="D47" s="22" t="s">
        <v>173</v>
      </c>
      <c r="E47" s="23"/>
      <c r="F47" s="22" t="s">
        <v>173</v>
      </c>
      <c r="G47" s="55"/>
      <c r="H47" s="65"/>
      <c r="I47" s="6" t="s">
        <v>173</v>
      </c>
      <c r="J47" s="3" t="e">
        <f>J48+J59+J71+J76+#REF!</f>
        <v>#REF!</v>
      </c>
    </row>
    <row r="48" spans="1:10" ht="15" x14ac:dyDescent="0.2">
      <c r="A48" s="20" t="s">
        <v>106</v>
      </c>
      <c r="B48" s="21" t="s">
        <v>13</v>
      </c>
      <c r="C48" s="21" t="s">
        <v>107</v>
      </c>
      <c r="D48" s="22" t="s">
        <v>173</v>
      </c>
      <c r="E48" s="23"/>
      <c r="F48" s="22" t="s">
        <v>173</v>
      </c>
      <c r="G48" s="55"/>
      <c r="H48" s="65"/>
      <c r="I48" s="6" t="s">
        <v>173</v>
      </c>
      <c r="J48" s="3" t="e">
        <f>SUM(J49:J58)</f>
        <v>#REF!</v>
      </c>
    </row>
    <row r="49" spans="1:10" ht="30" x14ac:dyDescent="0.2">
      <c r="A49" s="34" t="s">
        <v>108</v>
      </c>
      <c r="B49" s="9" t="s">
        <v>16</v>
      </c>
      <c r="C49" s="9" t="s">
        <v>109</v>
      </c>
      <c r="D49" s="35" t="s">
        <v>17</v>
      </c>
      <c r="E49" s="31">
        <f>1*11</f>
        <v>11</v>
      </c>
      <c r="F49" s="30"/>
      <c r="G49" s="56"/>
      <c r="H49" s="32">
        <f t="shared" ref="H49:H58" si="3">E49*F49*G49</f>
        <v>0</v>
      </c>
      <c r="I49" s="6">
        <v>8.1199999999999992</v>
      </c>
      <c r="J49" s="25" t="e">
        <f>ROUND(#REF!*I49,2)</f>
        <v>#REF!</v>
      </c>
    </row>
    <row r="50" spans="1:10" ht="45" x14ac:dyDescent="0.2">
      <c r="A50" s="34" t="s">
        <v>110</v>
      </c>
      <c r="B50" s="9" t="s">
        <v>22</v>
      </c>
      <c r="C50" s="9" t="s">
        <v>232</v>
      </c>
      <c r="D50" s="35" t="s">
        <v>244</v>
      </c>
      <c r="E50" s="31">
        <f>2*1.5*11</f>
        <v>33</v>
      </c>
      <c r="F50" s="30">
        <v>1</v>
      </c>
      <c r="G50" s="56"/>
      <c r="H50" s="32">
        <f t="shared" si="3"/>
        <v>0</v>
      </c>
      <c r="I50" s="6">
        <v>6.6</v>
      </c>
      <c r="J50" s="25" t="e">
        <f>ROUND(#REF!*I50,2)</f>
        <v>#REF!</v>
      </c>
    </row>
    <row r="51" spans="1:10" ht="17.25" x14ac:dyDescent="0.2">
      <c r="A51" s="34" t="s">
        <v>111</v>
      </c>
      <c r="B51" s="9" t="s">
        <v>112</v>
      </c>
      <c r="C51" s="9" t="s">
        <v>113</v>
      </c>
      <c r="D51" s="35" t="s">
        <v>244</v>
      </c>
      <c r="E51" s="31">
        <f>E50</f>
        <v>33</v>
      </c>
      <c r="F51" s="30">
        <v>1</v>
      </c>
      <c r="G51" s="56"/>
      <c r="H51" s="32">
        <f t="shared" si="3"/>
        <v>0</v>
      </c>
      <c r="I51" s="6">
        <v>17.89</v>
      </c>
      <c r="J51" s="25" t="e">
        <f>ROUND(#REF!*I51,2)</f>
        <v>#REF!</v>
      </c>
    </row>
    <row r="52" spans="1:10" ht="30" x14ac:dyDescent="0.2">
      <c r="A52" s="34" t="s">
        <v>114</v>
      </c>
      <c r="B52" s="9" t="s">
        <v>189</v>
      </c>
      <c r="C52" s="9" t="s">
        <v>190</v>
      </c>
      <c r="D52" s="30" t="s">
        <v>17</v>
      </c>
      <c r="E52" s="31">
        <f>(1.5-1)*2*3+(4-1)*2*8</f>
        <v>51</v>
      </c>
      <c r="F52" s="30">
        <v>1</v>
      </c>
      <c r="G52" s="56"/>
      <c r="H52" s="32">
        <f t="shared" si="3"/>
        <v>0</v>
      </c>
      <c r="I52" s="6"/>
      <c r="J52" s="25"/>
    </row>
    <row r="53" spans="1:10" ht="30" x14ac:dyDescent="0.2">
      <c r="A53" s="34" t="s">
        <v>115</v>
      </c>
      <c r="B53" s="9" t="s">
        <v>20</v>
      </c>
      <c r="C53" s="9" t="s">
        <v>207</v>
      </c>
      <c r="D53" s="35" t="s">
        <v>244</v>
      </c>
      <c r="E53" s="31">
        <f>(1.5-1)*1.5*3+(4-1)*1.5*8</f>
        <v>38.25</v>
      </c>
      <c r="F53" s="30">
        <v>1</v>
      </c>
      <c r="G53" s="56"/>
      <c r="H53" s="32">
        <f t="shared" si="3"/>
        <v>0</v>
      </c>
      <c r="I53" s="6"/>
      <c r="J53" s="25"/>
    </row>
    <row r="54" spans="1:10" ht="30" x14ac:dyDescent="0.2">
      <c r="A54" s="34" t="s">
        <v>117</v>
      </c>
      <c r="B54" s="9" t="s">
        <v>20</v>
      </c>
      <c r="C54" s="9" t="s">
        <v>177</v>
      </c>
      <c r="D54" s="35" t="s">
        <v>244</v>
      </c>
      <c r="E54" s="31">
        <f>E53</f>
        <v>38.25</v>
      </c>
      <c r="F54" s="30">
        <v>5</v>
      </c>
      <c r="G54" s="56"/>
      <c r="H54" s="32">
        <f t="shared" si="3"/>
        <v>0</v>
      </c>
      <c r="I54" s="6"/>
      <c r="J54" s="25"/>
    </row>
    <row r="55" spans="1:10" ht="30" x14ac:dyDescent="0.2">
      <c r="A55" s="34" t="s">
        <v>251</v>
      </c>
      <c r="B55" s="9" t="s">
        <v>191</v>
      </c>
      <c r="C55" s="9" t="s">
        <v>208</v>
      </c>
      <c r="D55" s="35" t="s">
        <v>244</v>
      </c>
      <c r="E55" s="31">
        <f>E54</f>
        <v>38.25</v>
      </c>
      <c r="F55" s="30">
        <v>2</v>
      </c>
      <c r="G55" s="56"/>
      <c r="H55" s="32">
        <f t="shared" si="3"/>
        <v>0</v>
      </c>
      <c r="I55" s="6"/>
      <c r="J55" s="25"/>
    </row>
    <row r="56" spans="1:10" ht="45" x14ac:dyDescent="0.2">
      <c r="A56" s="34" t="s">
        <v>252</v>
      </c>
      <c r="B56" s="9" t="s">
        <v>23</v>
      </c>
      <c r="C56" s="9" t="s">
        <v>24</v>
      </c>
      <c r="D56" s="39" t="s">
        <v>245</v>
      </c>
      <c r="E56" s="31">
        <f>E51*0.15+E53*(0.08+0.3)</f>
        <v>19.484999999999999</v>
      </c>
      <c r="F56" s="30">
        <v>1</v>
      </c>
      <c r="G56" s="56"/>
      <c r="H56" s="32">
        <f t="shared" si="3"/>
        <v>0</v>
      </c>
      <c r="I56" s="6">
        <v>26.01</v>
      </c>
      <c r="J56" s="25" t="e">
        <f>ROUND(#REF!*I56,2)</f>
        <v>#REF!</v>
      </c>
    </row>
    <row r="57" spans="1:10" ht="45" x14ac:dyDescent="0.2">
      <c r="A57" s="34" t="s">
        <v>253</v>
      </c>
      <c r="B57" s="9" t="s">
        <v>25</v>
      </c>
      <c r="C57" s="9" t="s">
        <v>116</v>
      </c>
      <c r="D57" s="39" t="s">
        <v>245</v>
      </c>
      <c r="E57" s="31">
        <f>E56</f>
        <v>19.484999999999999</v>
      </c>
      <c r="F57" s="30">
        <v>2</v>
      </c>
      <c r="G57" s="56"/>
      <c r="H57" s="32">
        <f t="shared" si="3"/>
        <v>0</v>
      </c>
      <c r="I57" s="6">
        <v>5.44</v>
      </c>
      <c r="J57" s="25" t="e">
        <f>ROUND(#REF!*I57,2)</f>
        <v>#REF!</v>
      </c>
    </row>
    <row r="58" spans="1:10" ht="30" x14ac:dyDescent="0.2">
      <c r="A58" s="34" t="s">
        <v>254</v>
      </c>
      <c r="B58" s="9" t="s">
        <v>74</v>
      </c>
      <c r="C58" s="9" t="s">
        <v>233</v>
      </c>
      <c r="D58" s="35" t="s">
        <v>55</v>
      </c>
      <c r="E58" s="37">
        <f>2</f>
        <v>2</v>
      </c>
      <c r="F58" s="30">
        <v>1</v>
      </c>
      <c r="G58" s="56"/>
      <c r="H58" s="32">
        <f t="shared" si="3"/>
        <v>0</v>
      </c>
      <c r="I58" s="6">
        <v>32.4</v>
      </c>
      <c r="J58" s="25" t="e">
        <f>ROUND(#REF!*I58,2)</f>
        <v>#REF!</v>
      </c>
    </row>
    <row r="59" spans="1:10" ht="15" x14ac:dyDescent="0.2">
      <c r="A59" s="20" t="s">
        <v>118</v>
      </c>
      <c r="B59" s="21" t="s">
        <v>13</v>
      </c>
      <c r="C59" s="21" t="s">
        <v>28</v>
      </c>
      <c r="D59" s="22" t="s">
        <v>173</v>
      </c>
      <c r="E59" s="23"/>
      <c r="F59" s="22" t="s">
        <v>173</v>
      </c>
      <c r="G59" s="55"/>
      <c r="H59" s="65"/>
      <c r="I59" s="6" t="s">
        <v>173</v>
      </c>
      <c r="J59" s="3" t="e">
        <f>SUM(J60:J70)</f>
        <v>#REF!</v>
      </c>
    </row>
    <row r="60" spans="1:10" ht="30" x14ac:dyDescent="0.2">
      <c r="A60" s="34" t="s">
        <v>119</v>
      </c>
      <c r="B60" s="9" t="s">
        <v>30</v>
      </c>
      <c r="C60" s="9" t="s">
        <v>32</v>
      </c>
      <c r="D60" s="35" t="s">
        <v>31</v>
      </c>
      <c r="E60" s="31">
        <f>(E77+E78+E79)/1000</f>
        <v>5.0870000000000005E-2</v>
      </c>
      <c r="F60" s="30">
        <v>1</v>
      </c>
      <c r="G60" s="56"/>
      <c r="H60" s="32">
        <f t="shared" ref="H60:H70" si="4">E60*F60*G60</f>
        <v>0</v>
      </c>
      <c r="I60" s="6">
        <v>3601.89</v>
      </c>
      <c r="J60" s="25" t="e">
        <f>ROUND(#REF!*I60,2)</f>
        <v>#REF!</v>
      </c>
    </row>
    <row r="61" spans="1:10" ht="45" x14ac:dyDescent="0.2">
      <c r="A61" s="34" t="s">
        <v>120</v>
      </c>
      <c r="B61" s="9" t="s">
        <v>36</v>
      </c>
      <c r="C61" s="9" t="s">
        <v>37</v>
      </c>
      <c r="D61" s="39" t="s">
        <v>245</v>
      </c>
      <c r="E61" s="31">
        <f>E72</f>
        <v>20.144520000000004</v>
      </c>
      <c r="F61" s="30">
        <v>1</v>
      </c>
      <c r="G61" s="56"/>
      <c r="H61" s="32">
        <f t="shared" si="4"/>
        <v>0</v>
      </c>
      <c r="I61" s="6">
        <v>45.97</v>
      </c>
      <c r="J61" s="25" t="e">
        <f>ROUND(#REF!*I61,2)</f>
        <v>#REF!</v>
      </c>
    </row>
    <row r="62" spans="1:10" ht="60" x14ac:dyDescent="0.2">
      <c r="A62" s="34" t="s">
        <v>121</v>
      </c>
      <c r="B62" s="9" t="s">
        <v>38</v>
      </c>
      <c r="C62" s="9" t="s">
        <v>122</v>
      </c>
      <c r="D62" s="39" t="s">
        <v>245</v>
      </c>
      <c r="E62" s="31">
        <f>E61</f>
        <v>20.144520000000004</v>
      </c>
      <c r="F62" s="30">
        <v>1</v>
      </c>
      <c r="G62" s="56"/>
      <c r="H62" s="32">
        <f t="shared" si="4"/>
        <v>0</v>
      </c>
      <c r="I62" s="6">
        <v>4.2699999999999996</v>
      </c>
      <c r="J62" s="25" t="e">
        <f>ROUND(#REF!*I62,2)</f>
        <v>#REF!</v>
      </c>
    </row>
    <row r="63" spans="1:10" ht="45" customHeight="1" x14ac:dyDescent="0.2">
      <c r="A63" s="34" t="s">
        <v>123</v>
      </c>
      <c r="B63" s="9" t="s">
        <v>124</v>
      </c>
      <c r="C63" s="9" t="s">
        <v>235</v>
      </c>
      <c r="D63" s="39" t="s">
        <v>245</v>
      </c>
      <c r="E63" s="31">
        <f>(E77+E78+E79)*0.9*(1.7-0.38)-E62</f>
        <v>40.28904</v>
      </c>
      <c r="F63" s="30">
        <v>1</v>
      </c>
      <c r="G63" s="56"/>
      <c r="H63" s="32">
        <f t="shared" si="4"/>
        <v>0</v>
      </c>
      <c r="I63" s="6">
        <v>15.54</v>
      </c>
      <c r="J63" s="25" t="e">
        <f>ROUND(#REF!*I63,2)</f>
        <v>#REF!</v>
      </c>
    </row>
    <row r="64" spans="1:10" ht="54" customHeight="1" x14ac:dyDescent="0.2">
      <c r="A64" s="34" t="s">
        <v>125</v>
      </c>
      <c r="B64" s="9" t="s">
        <v>40</v>
      </c>
      <c r="C64" s="9" t="s">
        <v>234</v>
      </c>
      <c r="D64" s="39" t="s">
        <v>245</v>
      </c>
      <c r="E64" s="31">
        <f>(E77+E78+E79)*0.9*0.2</f>
        <v>9.1566000000000027</v>
      </c>
      <c r="F64" s="30">
        <v>1</v>
      </c>
      <c r="G64" s="56"/>
      <c r="H64" s="32">
        <f t="shared" si="4"/>
        <v>0</v>
      </c>
      <c r="I64" s="6">
        <v>77.75</v>
      </c>
      <c r="J64" s="25" t="e">
        <f>ROUND(#REF!*I64,2)</f>
        <v>#REF!</v>
      </c>
    </row>
    <row r="65" spans="1:16" ht="60" x14ac:dyDescent="0.2">
      <c r="A65" s="34" t="s">
        <v>126</v>
      </c>
      <c r="B65" s="9" t="s">
        <v>41</v>
      </c>
      <c r="C65" s="9" t="s">
        <v>42</v>
      </c>
      <c r="D65" s="35" t="s">
        <v>244</v>
      </c>
      <c r="E65" s="31">
        <f>(E77+E78+E79)*1.7*2</f>
        <v>172.958</v>
      </c>
      <c r="F65" s="30">
        <v>1</v>
      </c>
      <c r="G65" s="56"/>
      <c r="H65" s="32">
        <f t="shared" si="4"/>
        <v>0</v>
      </c>
      <c r="I65" s="6">
        <v>8.8800000000000008</v>
      </c>
      <c r="J65" s="25" t="e">
        <f>ROUND(#REF!*I65,2)</f>
        <v>#REF!</v>
      </c>
    </row>
    <row r="66" spans="1:16" ht="30" x14ac:dyDescent="0.2">
      <c r="A66" s="34" t="s">
        <v>127</v>
      </c>
      <c r="B66" s="9" t="s">
        <v>54</v>
      </c>
      <c r="C66" s="9" t="s">
        <v>56</v>
      </c>
      <c r="D66" s="35" t="s">
        <v>55</v>
      </c>
      <c r="E66" s="37">
        <v>3</v>
      </c>
      <c r="F66" s="30">
        <v>1</v>
      </c>
      <c r="G66" s="56"/>
      <c r="H66" s="32">
        <f t="shared" si="4"/>
        <v>0</v>
      </c>
      <c r="I66" s="6">
        <v>286.57</v>
      </c>
      <c r="J66" s="25" t="e">
        <f>ROUND(#REF!*I66,2)</f>
        <v>#REF!</v>
      </c>
    </row>
    <row r="67" spans="1:16" ht="30" x14ac:dyDescent="0.2">
      <c r="A67" s="34" t="s">
        <v>128</v>
      </c>
      <c r="B67" s="9" t="s">
        <v>58</v>
      </c>
      <c r="C67" s="9" t="s">
        <v>59</v>
      </c>
      <c r="D67" s="35" t="s">
        <v>55</v>
      </c>
      <c r="E67" s="37">
        <v>3</v>
      </c>
      <c r="F67" s="30">
        <v>1</v>
      </c>
      <c r="G67" s="56"/>
      <c r="H67" s="32">
        <f t="shared" si="4"/>
        <v>0</v>
      </c>
      <c r="I67" s="6">
        <v>179.53</v>
      </c>
      <c r="J67" s="25" t="e">
        <f>ROUND(#REF!*I67,2)</f>
        <v>#REF!</v>
      </c>
    </row>
    <row r="68" spans="1:16" ht="30" x14ac:dyDescent="0.2">
      <c r="A68" s="34" t="s">
        <v>129</v>
      </c>
      <c r="B68" s="9" t="s">
        <v>60</v>
      </c>
      <c r="C68" s="9" t="s">
        <v>61</v>
      </c>
      <c r="D68" s="35" t="s">
        <v>55</v>
      </c>
      <c r="E68" s="37">
        <f>10+3</f>
        <v>13</v>
      </c>
      <c r="F68" s="30">
        <v>1</v>
      </c>
      <c r="G68" s="56"/>
      <c r="H68" s="32">
        <f t="shared" si="4"/>
        <v>0</v>
      </c>
      <c r="I68" s="6">
        <v>79.23</v>
      </c>
      <c r="J68" s="25" t="e">
        <f>ROUND(#REF!*I68,2)</f>
        <v>#REF!</v>
      </c>
    </row>
    <row r="69" spans="1:16" ht="30" x14ac:dyDescent="0.2">
      <c r="A69" s="34" t="s">
        <v>130</v>
      </c>
      <c r="B69" s="9" t="s">
        <v>62</v>
      </c>
      <c r="C69" s="9" t="s">
        <v>63</v>
      </c>
      <c r="D69" s="35" t="s">
        <v>55</v>
      </c>
      <c r="E69" s="37">
        <f>10+3</f>
        <v>13</v>
      </c>
      <c r="F69" s="30">
        <v>1</v>
      </c>
      <c r="G69" s="56"/>
      <c r="H69" s="32">
        <f t="shared" si="4"/>
        <v>0</v>
      </c>
      <c r="I69" s="6">
        <v>68.680000000000007</v>
      </c>
      <c r="J69" s="25" t="e">
        <f>ROUND(#REF!*I69,2)</f>
        <v>#REF!</v>
      </c>
    </row>
    <row r="70" spans="1:16" ht="30" x14ac:dyDescent="0.2">
      <c r="A70" s="34" t="s">
        <v>131</v>
      </c>
      <c r="B70" s="9" t="s">
        <v>64</v>
      </c>
      <c r="C70" s="9" t="s">
        <v>132</v>
      </c>
      <c r="D70" s="35" t="s">
        <v>17</v>
      </c>
      <c r="E70" s="31">
        <f>13*1.5</f>
        <v>19.5</v>
      </c>
      <c r="F70" s="30">
        <v>1</v>
      </c>
      <c r="G70" s="56"/>
      <c r="H70" s="32">
        <f t="shared" si="4"/>
        <v>0</v>
      </c>
      <c r="I70" s="6">
        <v>32.1</v>
      </c>
      <c r="J70" s="25" t="e">
        <f>ROUND(#REF!*I70,2)</f>
        <v>#REF!</v>
      </c>
    </row>
    <row r="71" spans="1:16" ht="15" x14ac:dyDescent="0.2">
      <c r="A71" s="20" t="s">
        <v>133</v>
      </c>
      <c r="B71" s="21" t="s">
        <v>13</v>
      </c>
      <c r="C71" s="21" t="s">
        <v>44</v>
      </c>
      <c r="D71" s="22" t="s">
        <v>173</v>
      </c>
      <c r="E71" s="23"/>
      <c r="F71" s="22" t="s">
        <v>173</v>
      </c>
      <c r="G71" s="55"/>
      <c r="H71" s="65"/>
      <c r="I71" s="6" t="s">
        <v>173</v>
      </c>
      <c r="J71" s="3" t="e">
        <f>SUM(J72:J75)</f>
        <v>#REF!</v>
      </c>
    </row>
    <row r="72" spans="1:16" ht="20.25" customHeight="1" x14ac:dyDescent="0.2">
      <c r="A72" s="34" t="s">
        <v>134</v>
      </c>
      <c r="B72" s="9" t="s">
        <v>46</v>
      </c>
      <c r="C72" s="9" t="s">
        <v>135</v>
      </c>
      <c r="D72" s="39" t="s">
        <v>245</v>
      </c>
      <c r="E72" s="31">
        <f>(E77+E78+E79)*0.9*(0.2+0.24)</f>
        <v>20.144520000000004</v>
      </c>
      <c r="F72" s="30">
        <v>1</v>
      </c>
      <c r="G72" s="56"/>
      <c r="H72" s="32">
        <f>E72*F72*G72</f>
        <v>0</v>
      </c>
      <c r="I72" s="6">
        <v>115.04</v>
      </c>
      <c r="J72" s="25" t="e">
        <f>ROUND(#REF!*I72,2)</f>
        <v>#REF!</v>
      </c>
    </row>
    <row r="73" spans="1:16" ht="45" x14ac:dyDescent="0.2">
      <c r="A73" s="34" t="s">
        <v>136</v>
      </c>
      <c r="B73" s="9" t="s">
        <v>48</v>
      </c>
      <c r="C73" s="9" t="s">
        <v>49</v>
      </c>
      <c r="D73" s="39" t="s">
        <v>245</v>
      </c>
      <c r="E73" s="31">
        <f>E72</f>
        <v>20.144520000000004</v>
      </c>
      <c r="F73" s="30">
        <v>1</v>
      </c>
      <c r="G73" s="56"/>
      <c r="H73" s="32">
        <f>E73*F73*G73</f>
        <v>0</v>
      </c>
      <c r="I73" s="6">
        <v>43.94</v>
      </c>
      <c r="J73" s="25" t="e">
        <f>ROUND(#REF!*I73,2)</f>
        <v>#REF!</v>
      </c>
    </row>
    <row r="74" spans="1:16" ht="30" x14ac:dyDescent="0.2">
      <c r="A74" s="34" t="s">
        <v>137</v>
      </c>
      <c r="B74" s="9" t="s">
        <v>138</v>
      </c>
      <c r="C74" s="9" t="s">
        <v>139</v>
      </c>
      <c r="D74" s="39" t="s">
        <v>245</v>
      </c>
      <c r="E74" s="31">
        <f>E61+E63+E64-E72</f>
        <v>49.445639999999997</v>
      </c>
      <c r="F74" s="30">
        <v>1</v>
      </c>
      <c r="G74" s="56"/>
      <c r="H74" s="32">
        <f>E74*F74*G74</f>
        <v>0</v>
      </c>
      <c r="I74" s="6">
        <v>2.2799999999999998</v>
      </c>
      <c r="J74" s="25" t="e">
        <f>ROUND(#REF!*I74,2)</f>
        <v>#REF!</v>
      </c>
    </row>
    <row r="75" spans="1:16" ht="30" x14ac:dyDescent="0.2">
      <c r="A75" s="34" t="s">
        <v>140</v>
      </c>
      <c r="B75" s="9" t="s">
        <v>51</v>
      </c>
      <c r="C75" s="9" t="s">
        <v>52</v>
      </c>
      <c r="D75" s="39" t="s">
        <v>245</v>
      </c>
      <c r="E75" s="31">
        <f>E73+E74</f>
        <v>69.590159999999997</v>
      </c>
      <c r="F75" s="30">
        <v>1</v>
      </c>
      <c r="G75" s="56"/>
      <c r="H75" s="32">
        <f>E75*F75*G75</f>
        <v>0</v>
      </c>
      <c r="I75" s="6">
        <v>14.28</v>
      </c>
      <c r="J75" s="25" t="e">
        <f>ROUND(#REF!*I75,2)</f>
        <v>#REF!</v>
      </c>
    </row>
    <row r="76" spans="1:16" ht="15" x14ac:dyDescent="0.2">
      <c r="A76" s="20" t="s">
        <v>141</v>
      </c>
      <c r="B76" s="21" t="s">
        <v>13</v>
      </c>
      <c r="C76" s="21" t="s">
        <v>142</v>
      </c>
      <c r="D76" s="22" t="s">
        <v>173</v>
      </c>
      <c r="E76" s="23"/>
      <c r="F76" s="22" t="s">
        <v>173</v>
      </c>
      <c r="G76" s="55"/>
      <c r="H76" s="65"/>
      <c r="I76" s="6" t="s">
        <v>173</v>
      </c>
      <c r="J76" s="3" t="e">
        <f>SUM(J79:J95)</f>
        <v>#REF!</v>
      </c>
      <c r="P76" s="40"/>
    </row>
    <row r="77" spans="1:16" ht="30" x14ac:dyDescent="0.2">
      <c r="A77" s="34" t="s">
        <v>143</v>
      </c>
      <c r="B77" s="9" t="s">
        <v>209</v>
      </c>
      <c r="C77" s="9" t="s">
        <v>210</v>
      </c>
      <c r="D77" s="35" t="s">
        <v>17</v>
      </c>
      <c r="E77" s="31">
        <f>(2.35+1.12)+(5.22+1.91)+(4.79+1+1.6)+(6.04+1.32)</f>
        <v>25.35</v>
      </c>
      <c r="F77" s="30">
        <v>1</v>
      </c>
      <c r="G77" s="56"/>
      <c r="H77" s="32">
        <f t="shared" ref="H77:H95" si="5">E77*F77*G77</f>
        <v>0</v>
      </c>
      <c r="I77" s="6"/>
      <c r="J77" s="3"/>
      <c r="P77" s="40"/>
    </row>
    <row r="78" spans="1:16" ht="30" x14ac:dyDescent="0.2">
      <c r="A78" s="34" t="s">
        <v>145</v>
      </c>
      <c r="B78" s="9" t="s">
        <v>209</v>
      </c>
      <c r="C78" s="9" t="s">
        <v>211</v>
      </c>
      <c r="D78" s="35" t="s">
        <v>17</v>
      </c>
      <c r="E78" s="31">
        <f>(6.39+1.29)+(2.5+0.59)</f>
        <v>10.77</v>
      </c>
      <c r="F78" s="30">
        <v>1</v>
      </c>
      <c r="G78" s="56"/>
      <c r="H78" s="32">
        <f t="shared" si="5"/>
        <v>0</v>
      </c>
      <c r="I78" s="6"/>
      <c r="J78" s="3"/>
      <c r="P78" s="40"/>
    </row>
    <row r="79" spans="1:16" ht="30" x14ac:dyDescent="0.2">
      <c r="A79" s="34" t="s">
        <v>146</v>
      </c>
      <c r="B79" s="9" t="s">
        <v>144</v>
      </c>
      <c r="C79" s="9" t="s">
        <v>218</v>
      </c>
      <c r="D79" s="35" t="s">
        <v>17</v>
      </c>
      <c r="E79" s="31">
        <f>(5.6+2.94)+(4.98+1.23)</f>
        <v>14.75</v>
      </c>
      <c r="F79" s="30">
        <v>1</v>
      </c>
      <c r="G79" s="56"/>
      <c r="H79" s="32">
        <f t="shared" si="5"/>
        <v>0</v>
      </c>
      <c r="I79" s="6">
        <v>82.59</v>
      </c>
      <c r="J79" s="25" t="e">
        <f>ROUND(#REF!*I79,2)</f>
        <v>#REF!</v>
      </c>
    </row>
    <row r="80" spans="1:16" ht="45" x14ac:dyDescent="0.2">
      <c r="A80" s="34" t="s">
        <v>237</v>
      </c>
      <c r="B80" s="9" t="s">
        <v>212</v>
      </c>
      <c r="C80" s="9" t="s">
        <v>213</v>
      </c>
      <c r="D80" s="35" t="s">
        <v>17</v>
      </c>
      <c r="E80" s="31">
        <f>5*4</f>
        <v>20</v>
      </c>
      <c r="F80" s="30">
        <v>1</v>
      </c>
      <c r="G80" s="56"/>
      <c r="H80" s="32">
        <f t="shared" si="5"/>
        <v>0</v>
      </c>
      <c r="I80" s="6"/>
      <c r="J80" s="25"/>
    </row>
    <row r="81" spans="1:11" ht="45" x14ac:dyDescent="0.2">
      <c r="A81" s="34" t="s">
        <v>147</v>
      </c>
      <c r="B81" s="9" t="s">
        <v>214</v>
      </c>
      <c r="C81" s="9" t="s">
        <v>215</v>
      </c>
      <c r="D81" s="35" t="s">
        <v>17</v>
      </c>
      <c r="E81" s="31">
        <f>5*2</f>
        <v>10</v>
      </c>
      <c r="F81" s="30">
        <v>1</v>
      </c>
      <c r="G81" s="56"/>
      <c r="H81" s="32">
        <f t="shared" si="5"/>
        <v>0</v>
      </c>
      <c r="I81" s="6"/>
      <c r="J81" s="25"/>
    </row>
    <row r="82" spans="1:11" ht="45" x14ac:dyDescent="0.2">
      <c r="A82" s="34" t="s">
        <v>149</v>
      </c>
      <c r="B82" s="9" t="s">
        <v>216</v>
      </c>
      <c r="C82" s="9" t="s">
        <v>217</v>
      </c>
      <c r="D82" s="35" t="s">
        <v>17</v>
      </c>
      <c r="E82" s="31">
        <f>5*5</f>
        <v>25</v>
      </c>
      <c r="F82" s="30">
        <v>1</v>
      </c>
      <c r="G82" s="56"/>
      <c r="H82" s="32">
        <f t="shared" si="5"/>
        <v>0</v>
      </c>
      <c r="I82" s="6"/>
      <c r="J82" s="25"/>
    </row>
    <row r="83" spans="1:11" ht="45" x14ac:dyDescent="0.2">
      <c r="A83" s="34" t="s">
        <v>150</v>
      </c>
      <c r="B83" s="9" t="s">
        <v>74</v>
      </c>
      <c r="C83" s="9" t="s">
        <v>228</v>
      </c>
      <c r="D83" s="35" t="s">
        <v>72</v>
      </c>
      <c r="E83" s="31">
        <v>11</v>
      </c>
      <c r="F83" s="30">
        <v>1</v>
      </c>
      <c r="G83" s="56"/>
      <c r="H83" s="32">
        <f t="shared" si="5"/>
        <v>0</v>
      </c>
      <c r="I83" s="6"/>
      <c r="J83" s="25"/>
    </row>
    <row r="84" spans="1:11" ht="30" x14ac:dyDescent="0.2">
      <c r="A84" s="34" t="s">
        <v>153</v>
      </c>
      <c r="B84" s="9" t="s">
        <v>223</v>
      </c>
      <c r="C84" s="9" t="s">
        <v>224</v>
      </c>
      <c r="D84" s="35" t="s">
        <v>86</v>
      </c>
      <c r="E84" s="31">
        <f>10*4</f>
        <v>40</v>
      </c>
      <c r="F84" s="30">
        <v>1</v>
      </c>
      <c r="G84" s="56"/>
      <c r="H84" s="32">
        <f t="shared" si="5"/>
        <v>0</v>
      </c>
      <c r="I84" s="6">
        <v>69.89</v>
      </c>
      <c r="J84" s="25" t="e">
        <f>ROUND(#REF!*I84,2)</f>
        <v>#REF!</v>
      </c>
    </row>
    <row r="85" spans="1:11" ht="45" x14ac:dyDescent="0.2">
      <c r="A85" s="34" t="s">
        <v>156</v>
      </c>
      <c r="B85" s="9" t="s">
        <v>148</v>
      </c>
      <c r="C85" s="9" t="s">
        <v>227</v>
      </c>
      <c r="D85" s="35" t="s">
        <v>72</v>
      </c>
      <c r="E85" s="37">
        <v>11</v>
      </c>
      <c r="F85" s="30">
        <v>1</v>
      </c>
      <c r="G85" s="56"/>
      <c r="H85" s="32">
        <f t="shared" si="5"/>
        <v>0</v>
      </c>
      <c r="I85" s="6">
        <v>353.76</v>
      </c>
      <c r="J85" s="25" t="e">
        <f>ROUND(#REF!*I85,2)</f>
        <v>#REF!</v>
      </c>
    </row>
    <row r="86" spans="1:11" ht="30" x14ac:dyDescent="0.2">
      <c r="A86" s="34" t="s">
        <v>157</v>
      </c>
      <c r="B86" s="9" t="s">
        <v>219</v>
      </c>
      <c r="C86" s="9" t="s">
        <v>220</v>
      </c>
      <c r="D86" s="35" t="s">
        <v>55</v>
      </c>
      <c r="E86" s="37">
        <v>5</v>
      </c>
      <c r="F86" s="30">
        <v>1</v>
      </c>
      <c r="G86" s="56"/>
      <c r="H86" s="32">
        <f t="shared" si="5"/>
        <v>0</v>
      </c>
      <c r="I86" s="6">
        <v>595.07000000000005</v>
      </c>
      <c r="J86" s="25" t="e">
        <f>ROUND(#REF!*I86,2)</f>
        <v>#REF!</v>
      </c>
    </row>
    <row r="87" spans="1:11" ht="30" x14ac:dyDescent="0.2">
      <c r="A87" s="34" t="s">
        <v>158</v>
      </c>
      <c r="B87" s="9" t="s">
        <v>219</v>
      </c>
      <c r="C87" s="9" t="s">
        <v>221</v>
      </c>
      <c r="D87" s="35" t="s">
        <v>55</v>
      </c>
      <c r="E87" s="37">
        <v>2</v>
      </c>
      <c r="F87" s="30">
        <v>1</v>
      </c>
      <c r="G87" s="56"/>
      <c r="H87" s="32">
        <f t="shared" si="5"/>
        <v>0</v>
      </c>
      <c r="I87" s="6"/>
      <c r="J87" s="25"/>
    </row>
    <row r="88" spans="1:11" ht="30" x14ac:dyDescent="0.2">
      <c r="A88" s="34" t="s">
        <v>160</v>
      </c>
      <c r="B88" s="9" t="s">
        <v>219</v>
      </c>
      <c r="C88" s="9" t="s">
        <v>222</v>
      </c>
      <c r="D88" s="35" t="s">
        <v>55</v>
      </c>
      <c r="E88" s="37">
        <v>4</v>
      </c>
      <c r="F88" s="30">
        <v>1</v>
      </c>
      <c r="G88" s="56"/>
      <c r="H88" s="32">
        <f t="shared" si="5"/>
        <v>0</v>
      </c>
      <c r="I88" s="6"/>
      <c r="J88" s="25"/>
    </row>
    <row r="89" spans="1:11" ht="30" x14ac:dyDescent="0.2">
      <c r="A89" s="34" t="s">
        <v>161</v>
      </c>
      <c r="B89" s="9" t="s">
        <v>151</v>
      </c>
      <c r="C89" s="9" t="s">
        <v>152</v>
      </c>
      <c r="D89" s="35" t="s">
        <v>72</v>
      </c>
      <c r="E89" s="37">
        <v>11</v>
      </c>
      <c r="F89" s="30">
        <v>1</v>
      </c>
      <c r="G89" s="56"/>
      <c r="H89" s="32">
        <f t="shared" si="5"/>
        <v>0</v>
      </c>
      <c r="I89" s="6">
        <v>41.47</v>
      </c>
      <c r="J89" s="25" t="e">
        <f>ROUND(#REF!*I89,2)</f>
        <v>#REF!</v>
      </c>
    </row>
    <row r="90" spans="1:11" ht="30" x14ac:dyDescent="0.2">
      <c r="A90" s="34" t="s">
        <v>238</v>
      </c>
      <c r="B90" s="9" t="s">
        <v>154</v>
      </c>
      <c r="C90" s="9" t="s">
        <v>155</v>
      </c>
      <c r="D90" s="35" t="s">
        <v>72</v>
      </c>
      <c r="E90" s="37">
        <v>11</v>
      </c>
      <c r="F90" s="30">
        <v>1</v>
      </c>
      <c r="G90" s="56"/>
      <c r="H90" s="32">
        <f t="shared" si="5"/>
        <v>0</v>
      </c>
      <c r="I90" s="6">
        <v>66.27</v>
      </c>
      <c r="J90" s="25" t="e">
        <f>ROUND(#REF!*I90,2)</f>
        <v>#REF!</v>
      </c>
    </row>
    <row r="91" spans="1:11" ht="30" x14ac:dyDescent="0.2">
      <c r="A91" s="34" t="s">
        <v>239</v>
      </c>
      <c r="B91" s="9" t="s">
        <v>93</v>
      </c>
      <c r="C91" s="9" t="s">
        <v>159</v>
      </c>
      <c r="D91" s="35" t="s">
        <v>17</v>
      </c>
      <c r="E91" s="31">
        <f>E77+E78+E79</f>
        <v>50.870000000000005</v>
      </c>
      <c r="F91" s="30">
        <v>1</v>
      </c>
      <c r="G91" s="56"/>
      <c r="H91" s="32">
        <f t="shared" si="5"/>
        <v>0</v>
      </c>
      <c r="I91" s="6">
        <v>1.44</v>
      </c>
      <c r="J91" s="25" t="e">
        <f>ROUND(#REF!*I91,2)</f>
        <v>#REF!</v>
      </c>
    </row>
    <row r="92" spans="1:11" ht="15" x14ac:dyDescent="0.2">
      <c r="A92" s="34" t="s">
        <v>240</v>
      </c>
      <c r="B92" s="9" t="s">
        <v>226</v>
      </c>
      <c r="C92" s="9" t="s">
        <v>225</v>
      </c>
      <c r="D92" s="35" t="s">
        <v>55</v>
      </c>
      <c r="E92" s="37">
        <v>11</v>
      </c>
      <c r="F92" s="30">
        <v>1</v>
      </c>
      <c r="G92" s="56"/>
      <c r="H92" s="32">
        <f t="shared" si="5"/>
        <v>0</v>
      </c>
      <c r="I92" s="6">
        <v>182.79</v>
      </c>
      <c r="J92" s="25" t="e">
        <f>ROUND(#REF!*I92,2)</f>
        <v>#REF!</v>
      </c>
    </row>
    <row r="93" spans="1:11" ht="30" x14ac:dyDescent="0.2">
      <c r="A93" s="34" t="s">
        <v>241</v>
      </c>
      <c r="B93" s="9" t="s">
        <v>94</v>
      </c>
      <c r="C93" s="9" t="s">
        <v>96</v>
      </c>
      <c r="D93" s="35" t="s">
        <v>95</v>
      </c>
      <c r="E93" s="31">
        <f>(E77+E78+E79)/200</f>
        <v>0.25435000000000002</v>
      </c>
      <c r="F93" s="30">
        <v>1</v>
      </c>
      <c r="G93" s="56"/>
      <c r="H93" s="32">
        <f t="shared" si="5"/>
        <v>0</v>
      </c>
      <c r="I93" s="6">
        <v>43.22</v>
      </c>
      <c r="J93" s="25" t="e">
        <f>ROUND(#REF!*I93,2)</f>
        <v>#REF!</v>
      </c>
    </row>
    <row r="94" spans="1:11" ht="30" x14ac:dyDescent="0.2">
      <c r="A94" s="34" t="s">
        <v>242</v>
      </c>
      <c r="B94" s="9" t="s">
        <v>97</v>
      </c>
      <c r="C94" s="9" t="s">
        <v>98</v>
      </c>
      <c r="D94" s="35" t="s">
        <v>95</v>
      </c>
      <c r="E94" s="31">
        <f>E93</f>
        <v>0.25435000000000002</v>
      </c>
      <c r="F94" s="30">
        <v>1</v>
      </c>
      <c r="G94" s="56"/>
      <c r="H94" s="32">
        <f t="shared" si="5"/>
        <v>0</v>
      </c>
      <c r="I94" s="6">
        <v>171.08</v>
      </c>
      <c r="J94" s="25" t="e">
        <f>ROUND(#REF!*I94,2)</f>
        <v>#REF!</v>
      </c>
    </row>
    <row r="95" spans="1:11" ht="30" x14ac:dyDescent="0.2">
      <c r="A95" s="34" t="s">
        <v>243</v>
      </c>
      <c r="B95" s="9" t="s">
        <v>162</v>
      </c>
      <c r="C95" s="9" t="s">
        <v>163</v>
      </c>
      <c r="D95" s="35" t="s">
        <v>99</v>
      </c>
      <c r="E95" s="31">
        <f>E93</f>
        <v>0.25435000000000002</v>
      </c>
      <c r="F95" s="30">
        <v>1</v>
      </c>
      <c r="G95" s="56"/>
      <c r="H95" s="32">
        <f t="shared" si="5"/>
        <v>0</v>
      </c>
      <c r="I95" s="6">
        <v>1115.1300000000001</v>
      </c>
      <c r="J95" s="25" t="e">
        <f>ROUND(#REF!*I95,2)</f>
        <v>#REF!</v>
      </c>
    </row>
    <row r="96" spans="1:11" ht="12.75" customHeight="1" x14ac:dyDescent="0.2">
      <c r="A96" s="20" t="s">
        <v>164</v>
      </c>
      <c r="B96" s="21" t="s">
        <v>8</v>
      </c>
      <c r="C96" s="21" t="s">
        <v>182</v>
      </c>
      <c r="D96" s="41" t="s">
        <v>173</v>
      </c>
      <c r="E96" s="23"/>
      <c r="F96" s="41" t="s">
        <v>173</v>
      </c>
      <c r="G96" s="57"/>
      <c r="H96" s="65"/>
      <c r="I96" s="4" t="s">
        <v>173</v>
      </c>
      <c r="J96" s="5" t="e">
        <f>J97</f>
        <v>#REF!</v>
      </c>
      <c r="K96" s="1"/>
    </row>
    <row r="97" spans="1:17" ht="12.75" customHeight="1" x14ac:dyDescent="0.2">
      <c r="A97" s="42" t="s">
        <v>165</v>
      </c>
      <c r="B97" s="43" t="s">
        <v>13</v>
      </c>
      <c r="C97" s="43" t="s">
        <v>183</v>
      </c>
      <c r="D97" s="22" t="s">
        <v>0</v>
      </c>
      <c r="E97" s="23"/>
      <c r="F97" s="22" t="s">
        <v>0</v>
      </c>
      <c r="G97" s="55"/>
      <c r="H97" s="65"/>
      <c r="I97" s="6"/>
      <c r="J97" s="25" t="e">
        <f>SUM(J98:J100)</f>
        <v>#REF!</v>
      </c>
      <c r="K97" s="1"/>
    </row>
    <row r="98" spans="1:17" ht="30" x14ac:dyDescent="0.2">
      <c r="A98" s="34" t="s">
        <v>166</v>
      </c>
      <c r="B98" s="9" t="s">
        <v>74</v>
      </c>
      <c r="C98" s="9" t="s">
        <v>170</v>
      </c>
      <c r="D98" s="35" t="s">
        <v>169</v>
      </c>
      <c r="E98" s="37">
        <v>1</v>
      </c>
      <c r="F98" s="35">
        <v>1</v>
      </c>
      <c r="G98" s="56"/>
      <c r="H98" s="32">
        <f>E98*F98*G98</f>
        <v>0</v>
      </c>
      <c r="I98" s="7">
        <v>7500</v>
      </c>
      <c r="J98" s="25" t="e">
        <f>ROUND(#REF!*I98,2)</f>
        <v>#REF!</v>
      </c>
      <c r="K98" s="1"/>
    </row>
    <row r="99" spans="1:17" ht="30" x14ac:dyDescent="0.2">
      <c r="A99" s="34" t="s">
        <v>167</v>
      </c>
      <c r="B99" s="9" t="s">
        <v>74</v>
      </c>
      <c r="C99" s="9" t="s">
        <v>171</v>
      </c>
      <c r="D99" s="35" t="s">
        <v>169</v>
      </c>
      <c r="E99" s="37">
        <v>1</v>
      </c>
      <c r="F99" s="35">
        <v>1</v>
      </c>
      <c r="G99" s="56"/>
      <c r="H99" s="32">
        <f>E99*F99*G99</f>
        <v>0</v>
      </c>
      <c r="I99" s="7">
        <v>9000</v>
      </c>
      <c r="J99" s="25" t="e">
        <f>ROUND(#REF!*I99,2)</f>
        <v>#REF!</v>
      </c>
      <c r="K99" s="1"/>
    </row>
    <row r="100" spans="1:17" ht="30" x14ac:dyDescent="0.2">
      <c r="A100" s="34" t="s">
        <v>168</v>
      </c>
      <c r="B100" s="9" t="s">
        <v>74</v>
      </c>
      <c r="C100" s="9" t="s">
        <v>172</v>
      </c>
      <c r="D100" s="35" t="s">
        <v>169</v>
      </c>
      <c r="E100" s="37">
        <v>1</v>
      </c>
      <c r="F100" s="35">
        <v>1</v>
      </c>
      <c r="G100" s="56"/>
      <c r="H100" s="32">
        <f>E100*F100*G100</f>
        <v>0</v>
      </c>
      <c r="I100" s="7">
        <v>5000</v>
      </c>
      <c r="J100" s="25" t="e">
        <f>ROUND(#REF!*I100,2)</f>
        <v>#REF!</v>
      </c>
      <c r="K100" s="1"/>
    </row>
    <row r="101" spans="1:17" ht="12.75" customHeight="1" x14ac:dyDescent="0.25">
      <c r="A101" s="66" t="s">
        <v>174</v>
      </c>
      <c r="B101" s="67"/>
      <c r="C101" s="67"/>
      <c r="D101" s="67"/>
      <c r="E101" s="67"/>
      <c r="F101" s="67"/>
      <c r="G101" s="68"/>
      <c r="H101" s="27">
        <f>SUM(H8:H100)</f>
        <v>0</v>
      </c>
      <c r="I101" s="8"/>
      <c r="J101" s="2" t="e">
        <f>J97+J47+J6</f>
        <v>#REF!</v>
      </c>
      <c r="Q101" s="40"/>
    </row>
    <row r="102" spans="1:17" ht="12.75" customHeight="1" x14ac:dyDescent="0.25">
      <c r="A102" s="66" t="s">
        <v>175</v>
      </c>
      <c r="B102" s="67"/>
      <c r="C102" s="67"/>
      <c r="D102" s="67"/>
      <c r="E102" s="67"/>
      <c r="F102" s="67"/>
      <c r="G102" s="68"/>
      <c r="H102" s="27">
        <f>ROUND(H101*23%,2)</f>
        <v>0</v>
      </c>
      <c r="I102" s="8"/>
      <c r="J102" s="2" t="e">
        <f>ROUND(J101*23%,2)</f>
        <v>#REF!</v>
      </c>
    </row>
    <row r="103" spans="1:17" ht="12.75" customHeight="1" x14ac:dyDescent="0.25">
      <c r="A103" s="66" t="s">
        <v>176</v>
      </c>
      <c r="B103" s="67"/>
      <c r="C103" s="67"/>
      <c r="D103" s="67"/>
      <c r="E103" s="67"/>
      <c r="F103" s="67"/>
      <c r="G103" s="68"/>
      <c r="H103" s="27">
        <f>H101+H102</f>
        <v>0</v>
      </c>
      <c r="I103" s="8"/>
      <c r="J103" s="2" t="e">
        <f>J101+J102</f>
        <v>#REF!</v>
      </c>
    </row>
  </sheetData>
  <sheetProtection algorithmName="SHA-512" hashValue="Roo/0tHMTIQF5Pr+d4XR+ozaLvh7z7XD45YRbTmG9SpGPHiYUNixNJCBeaPwivEb4qQGIDwuev3n/qOMDAGUIg==" saltValue="XF9gi72GPn7iHEc899hInQ==" spinCount="100000" sheet="1" objects="1" scenarios="1"/>
  <mergeCells count="5">
    <mergeCell ref="A101:G101"/>
    <mergeCell ref="A102:G102"/>
    <mergeCell ref="A103:G103"/>
    <mergeCell ref="A2:H3"/>
    <mergeCell ref="A1:H1"/>
  </mergeCells>
  <phoneticPr fontId="4" type="noConversion"/>
  <pageMargins left="0.7" right="0.7" top="0.75" bottom="0.75" header="0.5" footer="0.5"/>
  <pageSetup paperSize="9" scale="6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PRZEDMIAR</vt:lpstr>
      <vt:lpstr>PRZEDMIAR!Obszar_wydruku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Lucyna Chorągwicka-Batkiewicz</dc:creator>
  <cp:lastModifiedBy>MZWiK Nowy Targ</cp:lastModifiedBy>
  <cp:lastPrinted>2021-02-26T12:49:13Z</cp:lastPrinted>
  <dcterms:created xsi:type="dcterms:W3CDTF">2013-03-19T16:38:19Z</dcterms:created>
  <dcterms:modified xsi:type="dcterms:W3CDTF">2025-04-29T11:52:01Z</dcterms:modified>
</cp:coreProperties>
</file>